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ento_zošit" defaultThemeVersion="124226"/>
  <mc:AlternateContent xmlns:mc="http://schemas.openxmlformats.org/markup-compatibility/2006">
    <mc:Choice Requires="x15">
      <x15ac:absPath xmlns:x15ac="http://schemas.microsoft.com/office/spreadsheetml/2010/11/ac" url="C:\Users\Spravca\Documents\čerpanie príspevku MCRaŠ 2026\"/>
    </mc:Choice>
  </mc:AlternateContent>
  <xr:revisionPtr revIDLastSave="0" documentId="13_ncr:1_{3F164D2E-4D0B-4DC9-AD58-E0C7BE55394A}" xr6:coauthVersionLast="47" xr6:coauthVersionMax="47" xr10:uidLastSave="{00000000-0000-0000-0000-000000000000}"/>
  <bookViews>
    <workbookView xWindow="-120" yWindow="-120" windowWidth="29040" windowHeight="1572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3" i="4" l="1"/>
  <c r="I140" i="4"/>
  <c r="I486" i="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<sst xmlns="http://schemas.openxmlformats.org/spreadsheetml/2006/main" count="5977" uniqueCount="2652">
  <si>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</si>
  <si>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</si>
  <si>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</si>
  <si>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</si>
  <si>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</si>
  <si>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</si>
  <si>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</si>
  <si>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</si>
  <si>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</si>
  <si>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</si>
  <si>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</si>
  <si>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</si>
  <si>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</si>
  <si>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</si>
  <si>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</si>
  <si>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</si>
  <si>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</si>
  <si>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</si>
  <si>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</si>
  <si>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</si>
  <si>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</si>
  <si>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</si>
  <si>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</si>
  <si>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</si>
  <si>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</si>
  <si>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</si>
  <si>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</si>
  <si>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</si>
  <si>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</si>
  <si>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</si>
  <si>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</si>
  <si>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</si>
  <si>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</si>
  <si>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</si>
  <si>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</si>
  <si>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</si>
  <si>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</si>
  <si>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</si>
  <si>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</si>
  <si>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</si>
  <si>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</si>
  <si>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</si>
  <si>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</si>
  <si>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</si>
  <si>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</si>
  <si>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</si>
  <si>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</si>
  <si>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</si>
  <si>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</si>
  <si>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</si>
  <si>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</si>
  <si>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</si>
  <si>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</si>
  <si>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</si>
  <si>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</si>
  <si>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</si>
  <si>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</si>
  <si>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</si>
  <si>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</si>
  <si>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</si>
  <si>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</si>
  <si>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</si>
  <si>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</si>
  <si>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</si>
  <si>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</si>
  <si>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</si>
  <si>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</si>
  <si>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</si>
  <si>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</si>
  <si>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</si>
  <si>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</si>
  <si>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</si>
  <si>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</si>
  <si>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</si>
  <si>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</si>
  <si>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</si>
  <si>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</si>
  <si>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</si>
  <si>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</si>
  <si>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</si>
  <si>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</si>
  <si>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</si>
  <si>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</si>
  <si>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</si>
  <si>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</si>
  <si>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</si>
  <si>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</si>
  <si>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</si>
  <si>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</si>
  <si>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</si>
  <si>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</si>
  <si>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</si>
  <si>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</si>
  <si>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</si>
  <si>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</si>
  <si>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</si>
  <si>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</si>
  <si>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</si>
  <si>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</si>
  <si>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</si>
  <si>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</si>
  <si>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</si>
  <si>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</si>
  <si>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</si>
  <si>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</si>
  <si>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</si>
  <si>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</si>
  <si>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</si>
  <si>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</si>
  <si>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</si>
  <si>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</si>
  <si>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</si>
  <si>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</si>
  <si>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</si>
  <si>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</si>
  <si>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</si>
  <si>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</si>
  <si>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</si>
  <si>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</si>
  <si>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</si>
  <si>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</si>
  <si>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</si>
  <si>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</si>
  <si>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</si>
  <si>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</si>
  <si>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</si>
  <si>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</si>
  <si>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</si>
  <si>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</si>
  <si>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</si>
  <si>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</si>
  <si>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</si>
  <si>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</si>
  <si>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</si>
  <si>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</si>
  <si>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</si>
  <si>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</si>
  <si>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</si>
  <si>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</si>
  <si>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</si>
  <si>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</si>
  <si>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</si>
  <si>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</si>
  <si>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</si>
  <si>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</si>
  <si>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</si>
  <si>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</si>
  <si>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</si>
  <si>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</si>
  <si>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</si>
  <si>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</si>
  <si>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</si>
  <si>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</si>
  <si>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</si>
  <si>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</si>
  <si>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</si>
  <si>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</si>
  <si>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</si>
  <si>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</si>
  <si>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</si>
  <si>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</si>
  <si>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</si>
  <si>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</si>
  <si>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</si>
  <si>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</si>
  <si>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</si>
  <si>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</si>
  <si>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</si>
  <si>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</si>
  <si>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</si>
  <si>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</si>
  <si>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</si>
  <si>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</si>
  <si>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</si>
  <si>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</si>
  <si>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</si>
  <si>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</si>
  <si>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</si>
  <si>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</si>
  <si>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</si>
  <si>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</si>
  <si>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</si>
  <si>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</si>
  <si>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</si>
  <si>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</si>
  <si>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</si>
  <si>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</si>
  <si>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</si>
  <si>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</si>
  <si>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</si>
  <si>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</si>
  <si>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</si>
  <si>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</si>
  <si>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</si>
  <si>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</si>
  <si>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</si>
  <si>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</si>
  <si>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</si>
  <si>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</si>
  <si>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</si>
  <si>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</si>
  <si>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</si>
  <si>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</si>
  <si>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</si>
  <si>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</si>
  <si>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</si>
  <si>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</si>
  <si>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</si>
  <si>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</si>
  <si>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</si>
  <si>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</si>
  <si>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</si>
  <si>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</si>
  <si>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</si>
  <si>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</si>
  <si>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</si>
  <si>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</si>
  <si>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</si>
  <si>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</si>
  <si>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</si>
  <si>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</si>
  <si>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</si>
  <si>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</si>
  <si>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</si>
  <si>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</si>
  <si>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</si>
  <si>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</si>
  <si>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</si>
  <si>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</si>
  <si>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</si>
  <si>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</si>
  <si>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</si>
  <si>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</si>
  <si>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</si>
  <si>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</si>
  <si>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</si>
  <si>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</si>
  <si>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</si>
  <si>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</si>
  <si>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</si>
  <si>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</si>
  <si>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</si>
  <si>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</si>
  <si>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</si>
  <si>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</si>
  <si>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</si>
  <si>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</si>
  <si>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</si>
  <si>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</si>
  <si>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</si>
  <si>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</si>
  <si>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</si>
  <si>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</si>
  <si>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</si>
  <si>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</si>
  <si>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</si>
  <si>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</si>
  <si>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</si>
  <si>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</si>
  <si>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</si>
  <si>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</si>
  <si>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</si>
  <si>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</si>
  <si>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</si>
  <si>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</si>
  <si>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</si>
  <si>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</si>
  <si>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</si>
  <si>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</si>
  <si>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</si>
  <si>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</si>
  <si>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</si>
  <si>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</si>
  <si>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</si>
  <si>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</si>
  <si>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</si>
  <si>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</si>
  <si>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</si>
  <si>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</si>
  <si>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</si>
  <si>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</si>
  <si>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</si>
  <si>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</si>
  <si>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</si>
  <si>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</si>
  <si>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</si>
  <si>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</si>
  <si>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</si>
  <si>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</si>
  <si>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</si>
  <si>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</si>
  <si>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</si>
  <si>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</si>
  <si>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</si>
  <si>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</si>
  <si>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</si>
  <si>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</si>
  <si>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</si>
  <si>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</si>
  <si>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</si>
  <si>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</si>
  <si>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</si>
  <si>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</si>
  <si>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</si>
  <si>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</si>
  <si>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</si>
  <si>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</si>
  <si>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</si>
  <si>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</si>
  <si>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</si>
  <si>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</si>
  <si>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</si>
  <si>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</si>
  <si>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</si>
  <si>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</si>
  <si>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</si>
  <si>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</si>
  <si>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</si>
  <si>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</si>
  <si>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</si>
  <si>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</si>
  <si>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</si>
  <si>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</si>
  <si>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</si>
  <si>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</si>
  <si>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</si>
  <si>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</si>
  <si>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</si>
  <si>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</si>
  <si>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</si>
  <si>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</si>
  <si>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</si>
  <si>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</si>
  <si>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</si>
  <si>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</si>
  <si>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</si>
  <si>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</si>
  <si>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</si>
  <si>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</si>
  <si>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</si>
  <si>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</si>
  <si>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</si>
  <si>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</si>
  <si>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</si>
  <si>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</si>
  <si>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</si>
  <si>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</si>
  <si>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</si>
  <si>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</si>
  <si>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</si>
  <si>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</si>
  <si>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</si>
  <si>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</si>
  <si>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</si>
  <si>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</si>
  <si>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</si>
  <si>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</si>
  <si>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</si>
  <si>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</si>
  <si>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</si>
  <si>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</si>
  <si>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</si>
  <si>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</si>
  <si>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</si>
  <si>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</si>
  <si>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</si>
  <si>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</si>
  <si>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</si>
  <si>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</si>
  <si>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</si>
  <si>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</si>
  <si>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</si>
  <si>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</si>
  <si>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</si>
  <si>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</si>
  <si>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</si>
  <si>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</si>
  <si>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</si>
  <si>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</si>
  <si>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</si>
  <si>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</si>
  <si>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</si>
  <si>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</si>
  <si>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</si>
  <si>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</si>
  <si>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</si>
  <si>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</si>
  <si>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</si>
  <si>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</si>
  <si>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</si>
  <si>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</si>
  <si>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</si>
  <si>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</si>
  <si>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</si>
  <si>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</si>
  <si>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</si>
  <si>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</si>
  <si>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</si>
  <si>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</si>
  <si>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</si>
  <si>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</si>
  <si>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</si>
  <si>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</si>
  <si>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</si>
  <si>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</si>
  <si>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</si>
  <si>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</si>
  <si>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</si>
  <si>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</si>
  <si>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</si>
  <si>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</si>
  <si>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</si>
  <si>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</si>
  <si>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</si>
  <si>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</si>
  <si>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</si>
  <si>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</si>
  <si>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</si>
  <si>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</si>
  <si>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</si>
  <si>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</si>
  <si>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</si>
  <si>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</si>
  <si>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</si>
  <si>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</si>
  <si>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</si>
  <si>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</si>
  <si>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</si>
  <si>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</si>
  <si>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</si>
  <si>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</si>
  <si>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</si>
  <si>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</si>
  <si>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</si>
  <si>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</si>
  <si>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</si>
  <si>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</si>
  <si>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</si>
  <si>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</si>
  <si>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</si>
  <si>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</si>
  <si>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</si>
  <si>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</si>
  <si>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</si>
  <si>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</si>
  <si>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</si>
  <si>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</si>
  <si>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</si>
  <si>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</si>
  <si>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</si>
  <si>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</si>
  <si>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</si>
  <si>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</si>
  <si>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</si>
  <si>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</si>
  <si>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</si>
  <si>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</si>
  <si>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</si>
  <si>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</si>
  <si>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</si>
  <si>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</si>
  <si>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</si>
  <si>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</si>
  <si>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</si>
  <si>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</si>
  <si>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</si>
  <si>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</si>
  <si>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</si>
  <si>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</si>
  <si>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</si>
  <si>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</si>
  <si>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</si>
  <si>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</si>
  <si>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</si>
  <si>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</si>
  <si>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</si>
  <si>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</si>
  <si>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</si>
  <si>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</si>
  <si>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</si>
  <si>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</si>
  <si>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</si>
  <si>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</si>
  <si>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</si>
  <si>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</si>
  <si>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</si>
  <si>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</si>
  <si>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</si>
  <si>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</si>
  <si>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</si>
  <si>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</si>
  <si>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</si>
  <si>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</si>
  <si>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</si>
  <si>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</si>
  <si>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</si>
  <si>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</si>
  <si>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</si>
  <si>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</si>
  <si>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</si>
  <si>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</si>
  <si>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</si>
  <si>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</si>
  <si>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</si>
  <si>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</si>
  <si>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</si>
  <si>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</si>
  <si>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</si>
  <si>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</si>
  <si>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</si>
  <si>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</si>
  <si>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</si>
  <si>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</si>
  <si>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</si>
  <si>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</si>
  <si>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</si>
  <si>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</si>
  <si>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</si>
  <si>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</si>
  <si>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</si>
  <si>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</si>
  <si>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</si>
  <si>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</si>
  <si>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</si>
  <si>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</si>
  <si>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</si>
  <si>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</si>
  <si>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</si>
  <si>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</si>
  <si>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</si>
  <si>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</si>
  <si>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</si>
  <si>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</si>
  <si>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</si>
  <si>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</si>
  <si>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</si>
  <si>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</si>
  <si>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</si>
  <si>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</si>
  <si>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</si>
  <si>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</si>
  <si>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</si>
  <si>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</si>
  <si>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</si>
  <si>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</si>
  <si>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</si>
  <si>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</si>
  <si>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</si>
  <si>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</si>
  <si>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</si>
  <si>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</si>
  <si>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</si>
  <si>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</si>
  <si>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</si>
  <si>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</si>
  <si>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</si>
  <si>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</si>
  <si>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</si>
  <si>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</si>
  <si>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</si>
  <si>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</si>
  <si>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</si>
  <si>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</si>
  <si>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</si>
  <si>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</si>
  <si>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</si>
  <si>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</si>
  <si>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</si>
  <si>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</si>
  <si>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</si>
  <si>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</si>
  <si>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</si>
  <si>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</si>
  <si>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</si>
  <si>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</si>
  <si>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</si>
  <si>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</si>
  <si>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</si>
  <si>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</si>
  <si>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</si>
  <si>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</si>
  <si>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</si>
  <si>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</si>
  <si>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</si>
  <si>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</si>
  <si>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</si>
  <si>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</si>
  <si>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</si>
  <si>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</si>
  <si>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</si>
  <si>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</si>
  <si>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</si>
  <si>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</si>
  <si>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</si>
  <si>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</si>
  <si>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</si>
  <si>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</si>
  <si>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</si>
  <si>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</si>
  <si>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</si>
  <si>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</si>
  <si>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</si>
  <si>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</si>
  <si>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</si>
  <si>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</si>
  <si>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</si>
  <si>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</si>
  <si>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</si>
  <si>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</si>
  <si>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</si>
  <si>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</si>
  <si>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</si>
  <si>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</si>
  <si>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</si>
  <si>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</si>
  <si>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</si>
  <si>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</si>
  <si>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</si>
  <si>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</si>
  <si>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</si>
  <si>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</si>
  <si>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</si>
  <si>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</si>
  <si>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</si>
  <si>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</si>
  <si>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</si>
  <si>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</si>
  <si>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</si>
  <si>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</si>
  <si>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</si>
  <si>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</si>
  <si>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</si>
  <si>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</si>
  <si>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</si>
  <si>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</si>
  <si>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</si>
  <si>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</si>
  <si>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</si>
  <si>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</si>
  <si>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</si>
  <si>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</si>
  <si>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</si>
  <si>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</si>
  <si>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</si>
  <si>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</si>
  <si>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</si>
  <si>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</si>
  <si>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</si>
  <si>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</si>
  <si>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</si>
  <si>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</si>
  <si>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</si>
  <si>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</si>
  <si>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</si>
  <si>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</si>
  <si>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</si>
  <si>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</si>
  <si>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</si>
  <si>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</si>
  <si>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</si>
  <si>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</si>
  <si>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</si>
  <si>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</si>
  <si>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</si>
  <si>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</si>
  <si>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</si>
  <si>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</si>
  <si>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</si>
  <si>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</si>
  <si>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</si>
  <si>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</si>
  <si>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</si>
  <si>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</si>
  <si>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</si>
  <si>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</si>
  <si>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</si>
  <si>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</si>
  <si>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</si>
  <si>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</si>
  <si>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</si>
  <si>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</si>
  <si>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</si>
  <si>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</si>
  <si>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</si>
  <si>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</si>
  <si>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</si>
  <si>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</si>
  <si>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</si>
  <si>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</si>
  <si>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</si>
  <si>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</si>
  <si>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</si>
  <si>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</si>
  <si>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</si>
  <si>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</si>
  <si>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</si>
  <si>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</si>
  <si>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</si>
  <si>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</si>
  <si>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</si>
  <si>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</si>
  <si>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</si>
  <si>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</si>
  <si>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</si>
  <si>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</si>
  <si>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</si>
  <si>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</si>
  <si>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</si>
  <si>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</si>
  <si>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</si>
  <si>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</si>
  <si>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</si>
  <si>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</si>
  <si>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</si>
  <si>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</si>
  <si>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</si>
  <si>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</si>
  <si>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</si>
  <si>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</si>
  <si>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</si>
  <si>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</si>
  <si>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</si>
  <si>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</si>
  <si>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</si>
  <si>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</si>
  <si>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</si>
  <si>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</si>
  <si>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</si>
  <si>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</si>
  <si>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</si>
  <si>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</si>
  <si>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</si>
  <si>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</si>
  <si>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</si>
  <si>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</si>
  <si>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</si>
  <si>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</si>
  <si>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</si>
  <si>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</si>
  <si>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</si>
  <si>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</si>
  <si>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</si>
  <si>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</si>
  <si>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</si>
  <si>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</si>
  <si>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</si>
  <si>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</si>
  <si>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</si>
  <si>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</si>
  <si>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</si>
  <si>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</si>
  <si>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</si>
  <si>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</si>
  <si>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</si>
  <si>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</si>
  <si>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</si>
  <si>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</si>
  <si>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</si>
  <si>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</si>
  <si>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</si>
  <si>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</si>
  <si>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</si>
  <si>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</si>
  <si>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</si>
  <si>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</si>
  <si>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</si>
  <si>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</si>
  <si>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</si>
  <si>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</si>
  <si>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</si>
  <si>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</si>
  <si>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</si>
  <si>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</si>
  <si>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</si>
  <si>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</si>
  <si>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</si>
  <si>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</si>
  <si>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</si>
  <si>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</si>
  <si>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</si>
  <si>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</si>
  <si>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</si>
  <si>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</si>
  <si>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</si>
  <si>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</si>
  <si>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</si>
  <si>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</si>
  <si>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</si>
  <si>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</si>
  <si>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</si>
  <si>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</si>
  <si>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</si>
  <si>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</si>
  <si>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</si>
  <si>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</si>
  <si>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</si>
  <si>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</si>
  <si>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</si>
  <si>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</si>
  <si>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</si>
  <si>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</si>
  <si>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</si>
  <si>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</si>
  <si>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</si>
  <si>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</si>
  <si>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</si>
  <si>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</si>
  <si>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</si>
  <si>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</si>
  <si>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</si>
  <si>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</si>
  <si>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</si>
  <si>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</si>
  <si>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</si>
  <si>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</si>
  <si>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</si>
  <si>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</si>
  <si>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</si>
  <si>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</si>
  <si>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</si>
  <si>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</si>
  <si>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</si>
  <si>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</si>
  <si>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</si>
  <si>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</si>
  <si>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</si>
  <si>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</si>
  <si>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</si>
  <si>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</si>
  <si>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</si>
  <si>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</si>
  <si>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</si>
  <si>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</si>
  <si>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</si>
  <si>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</si>
  <si>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</si>
  <si>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</si>
  <si>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</si>
  <si>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</si>
  <si>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</si>
  <si>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</si>
  <si>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</si>
  <si>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</si>
  <si>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</si>
  <si>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</si>
  <si>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</si>
  <si>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</si>
  <si>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</si>
  <si>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</si>
  <si>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</si>
  <si>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</si>
  <si>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</si>
  <si>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</si>
  <si>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</si>
  <si>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</si>
  <si>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</si>
  <si>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</si>
  <si>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</si>
  <si>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</si>
  <si>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</si>
  <si>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</si>
  <si>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</si>
  <si>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</si>
  <si>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</si>
  <si>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</si>
  <si>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</si>
  <si>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</si>
  <si>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</si>
  <si>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</si>
  <si>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</si>
  <si>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</si>
  <si>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</si>
  <si>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</si>
  <si>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</si>
  <si>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</si>
  <si>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</si>
  <si>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</si>
  <si>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</si>
  <si>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</si>
  <si>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</si>
  <si>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</si>
  <si>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</si>
  <si>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</si>
  <si>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</si>
  <si>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</si>
  <si>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</si>
  <si>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</si>
  <si>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</si>
  <si>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</si>
  <si>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</si>
  <si>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</si>
  <si>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</si>
  <si>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</si>
  <si>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</si>
  <si>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</si>
  <si>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</si>
  <si>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</si>
  <si>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</si>
  <si>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</si>
  <si>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</si>
  <si>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</si>
  <si>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</si>
  <si>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</si>
  <si>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</si>
  <si>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</si>
  <si>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</si>
  <si>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</si>
  <si>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</si>
  <si>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</si>
  <si>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</si>
  <si>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</si>
  <si>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</si>
  <si>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</si>
  <si>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</si>
  <si>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</si>
  <si>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</si>
  <si>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</si>
  <si>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</si>
  <si>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</si>
  <si>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</si>
  <si>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</si>
  <si>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</si>
  <si>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</si>
  <si>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</si>
  <si>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</si>
  <si>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</si>
  <si>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</si>
  <si>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</si>
  <si>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</si>
  <si>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</si>
  <si>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</si>
  <si>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</si>
  <si>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</si>
  <si>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</si>
  <si>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</si>
  <si>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</si>
  <si>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</si>
  <si>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</si>
  <si>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</si>
  <si>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</si>
  <si>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</si>
  <si>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</si>
  <si>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</si>
  <si>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</si>
  <si>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</si>
  <si>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</si>
  <si>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</si>
  <si>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</si>
  <si>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</si>
  <si>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</si>
  <si>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</si>
  <si>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</si>
  <si>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</si>
  <si>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</si>
  <si>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</si>
  <si>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</si>
  <si>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</si>
  <si>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</si>
  <si>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</si>
  <si>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</si>
  <si>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</si>
  <si>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</si>
  <si>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</si>
  <si>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</si>
  <si>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</si>
  <si>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</si>
  <si>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</si>
  <si>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</si>
  <si>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</si>
  <si>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</si>
  <si>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</si>
  <si>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</si>
  <si>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</si>
  <si>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</si>
  <si>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</si>
  <si>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</si>
  <si>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</si>
  <si>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</si>
  <si>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</si>
  <si>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</si>
  <si>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</si>
  <si>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</si>
  <si>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</si>
  <si>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</si>
  <si>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</si>
  <si>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</si>
  <si>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</si>
  <si>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</si>
  <si>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</si>
  <si>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</si>
  <si>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</si>
  <si>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</si>
  <si>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</si>
  <si>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</si>
  <si>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</si>
  <si>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</si>
  <si>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</si>
  <si>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</si>
  <si>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</si>
  <si>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</si>
  <si>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</si>
  <si>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</si>
  <si>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</si>
  <si>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</si>
  <si>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</si>
  <si>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</si>
  <si>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</si>
  <si>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</si>
  <si>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</si>
  <si>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</si>
  <si>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</si>
  <si>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</si>
  <si>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</si>
  <si>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</si>
  <si>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</si>
  <si>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</si>
  <si>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</si>
  <si>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</si>
  <si>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</si>
  <si>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</si>
  <si>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</si>
  <si>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</si>
  <si>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</si>
  <si>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</si>
  <si>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</si>
  <si>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</si>
  <si>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</si>
  <si>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</si>
  <si>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</si>
  <si>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</si>
  <si>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</si>
  <si>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</si>
  <si>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</si>
  <si>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</si>
  <si>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</si>
  <si>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</si>
  <si>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</si>
  <si>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</si>
  <si>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</si>
  <si>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</si>
  <si>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</si>
  <si>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</si>
  <si>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</si>
  <si>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</si>
  <si>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</si>
  <si>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</si>
  <si>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</si>
  <si>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</si>
  <si>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</si>
  <si>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</si>
  <si>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</si>
  <si>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</si>
  <si>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</si>
  <si>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</si>
  <si>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</si>
  <si>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</si>
  <si>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</si>
  <si>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</si>
  <si>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</si>
  <si>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</si>
  <si>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</si>
  <si>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</si>
  <si>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</si>
  <si>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</si>
  <si>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</si>
  <si>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</si>
  <si>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</si>
  <si>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</si>
  <si>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</si>
  <si>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</si>
  <si>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</si>
  <si>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</si>
  <si>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</si>
  <si>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</si>
  <si>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</si>
  <si>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</si>
  <si>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</si>
  <si>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</si>
  <si>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</si>
  <si>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</si>
  <si>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</si>
  <si>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</si>
  <si>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</si>
  <si>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</si>
  <si>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</si>
  <si>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</si>
  <si>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</si>
  <si>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</si>
  <si>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</si>
  <si>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</si>
  <si>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</si>
  <si>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</si>
  <si>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</si>
  <si>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</si>
  <si>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</si>
  <si>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</si>
  <si>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</si>
  <si>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</si>
  <si>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</si>
  <si>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</si>
  <si>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</si>
  <si>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</si>
  <si>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</si>
  <si>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</si>
  <si>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</si>
  <si>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</si>
  <si>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</si>
  <si>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</si>
  <si>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</si>
  <si>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</si>
  <si>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</si>
  <si>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</si>
  <si>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</si>
  <si>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</si>
  <si>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</si>
  <si>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</si>
  <si>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</si>
  <si>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</si>
  <si>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</si>
  <si>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</si>
  <si>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</si>
  <si>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</si>
  <si>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</si>
  <si>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</si>
  <si>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</si>
  <si>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</si>
  <si>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</si>
  <si>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</si>
  <si>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</si>
  <si>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</si>
  <si>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</si>
  <si>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</si>
  <si>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</si>
  <si>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</si>
  <si>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</si>
  <si>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</si>
  <si>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</si>
  <si>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</si>
  <si>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</si>
  <si>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</si>
  <si>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</si>
  <si>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</si>
  <si>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</si>
  <si>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</si>
  <si>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</si>
  <si>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</si>
  <si>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</si>
  <si>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</si>
  <si>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</si>
  <si>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</si>
  <si>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</si>
  <si>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</si>
  <si>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</si>
  <si>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</si>
  <si>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</si>
  <si>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</si>
  <si>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</si>
  <si>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</si>
  <si>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</si>
  <si>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</si>
  <si>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</si>
  <si>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</si>
  <si>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</si>
  <si>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</si>
  <si>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</si>
  <si>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</si>
  <si>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</si>
  <si>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</si>
  <si>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</si>
  <si>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</si>
  <si>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</si>
  <si>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</si>
  <si>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</si>
  <si>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</si>
  <si>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</si>
  <si>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</si>
  <si>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</si>
  <si>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</si>
  <si>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</si>
  <si>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</si>
  <si>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</si>
  <si>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</si>
  <si>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</si>
  <si>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</si>
  <si>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</si>
  <si>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</si>
  <si>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</si>
  <si>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</si>
  <si>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</si>
  <si>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</si>
  <si>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</si>
  <si>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</si>
  <si>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</si>
  <si>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</si>
  <si>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</si>
  <si>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</si>
  <si>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</si>
  <si>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</si>
  <si>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</si>
  <si>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</si>
  <si>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</si>
  <si>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</si>
  <si>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</si>
  <si>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</si>
  <si>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</si>
  <si>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</si>
  <si>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</si>
  <si>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</si>
  <si>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</si>
  <si>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</si>
  <si>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</si>
  <si>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</si>
  <si>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</si>
  <si>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</si>
  <si>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</si>
  <si>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</si>
  <si>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</si>
  <si>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</si>
  <si>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</si>
  <si>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</si>
  <si>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</si>
  <si>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</si>
  <si>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</si>
  <si>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</si>
  <si>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</si>
  <si>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</si>
  <si>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</si>
  <si>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</si>
  <si>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</si>
  <si>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</si>
  <si>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</si>
  <si>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</si>
  <si>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</si>
  <si>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</si>
  <si>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</si>
  <si>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</si>
  <si>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</si>
  <si>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</si>
  <si>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</si>
  <si>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</si>
  <si>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</si>
  <si>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</si>
  <si>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</si>
  <si>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</si>
  <si>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</si>
  <si>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</si>
  <si>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</si>
  <si>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</si>
  <si>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</si>
  <si>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</si>
  <si>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</si>
  <si>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</si>
  <si>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</si>
  <si>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</si>
  <si>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</si>
  <si>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</si>
  <si>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</si>
  <si>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</si>
  <si>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</si>
  <si>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</si>
  <si>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</si>
  <si>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</si>
  <si>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</si>
  <si>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</si>
  <si>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</si>
  <si>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</si>
  <si>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</si>
  <si>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</si>
  <si>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</si>
  <si>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</si>
  <si>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</si>
  <si>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</si>
  <si>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</si>
  <si>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</si>
  <si>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</si>
  <si>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</si>
  <si>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</si>
  <si>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</si>
  <si>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</si>
  <si>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</si>
  <si>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</si>
  <si>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</si>
  <si>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</si>
  <si>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</si>
  <si>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</si>
  <si>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</si>
  <si>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</si>
  <si>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</si>
  <si>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</si>
  <si>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</si>
  <si>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</si>
  <si>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</si>
  <si>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</si>
  <si>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</si>
  <si>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</si>
  <si>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</si>
  <si>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</si>
  <si>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</si>
  <si>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</si>
  <si>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</si>
  <si>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</si>
  <si>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</si>
  <si>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</si>
  <si>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</si>
  <si>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</si>
  <si>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</si>
  <si>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</si>
  <si>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</si>
  <si>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</si>
  <si>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</si>
  <si>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</si>
  <si>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</si>
  <si>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</si>
  <si>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</si>
  <si>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</si>
  <si>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</si>
  <si>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</si>
  <si>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</si>
  <si>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</si>
  <si>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</si>
  <si>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</si>
  <si>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</si>
  <si>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</si>
  <si>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</si>
  <si>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</si>
  <si>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</si>
  <si>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</si>
  <si>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</si>
  <si>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</si>
  <si>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</si>
  <si>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</si>
  <si>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</si>
  <si>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</si>
  <si>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</si>
  <si>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</si>
  <si>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</si>
  <si>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</si>
  <si>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</si>
  <si>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</si>
  <si>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</si>
  <si>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</si>
  <si>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</si>
  <si>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</si>
  <si>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</si>
  <si>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</si>
  <si>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</si>
  <si>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</si>
  <si>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</si>
  <si>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</si>
  <si>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</si>
  <si>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</si>
  <si>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</si>
  <si>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</si>
  <si>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</si>
  <si>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</si>
  <si>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</si>
  <si>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</si>
  <si>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</si>
  <si>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</si>
  <si>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</si>
  <si>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</si>
  <si>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</si>
  <si>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</si>
  <si>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</si>
  <si>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</si>
  <si>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</si>
  <si>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</si>
  <si>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</si>
  <si>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</si>
  <si>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</si>
  <si>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</si>
  <si>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</si>
  <si>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</si>
  <si>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</si>
  <si>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</si>
  <si>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</si>
  <si>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</si>
  <si>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</si>
  <si>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</si>
  <si>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</si>
  <si>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</si>
  <si>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</si>
  <si>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</si>
  <si>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</si>
  <si>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</si>
  <si>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</si>
  <si>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</si>
  <si>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</si>
  <si>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</si>
  <si>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</si>
  <si>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</si>
  <si>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</si>
  <si>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</si>
  <si>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</si>
  <si>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</si>
  <si>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</si>
  <si>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</si>
  <si>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</si>
  <si>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</si>
  <si>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</si>
  <si>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</si>
  <si>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</si>
  <si>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</si>
  <si>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</si>
  <si>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</si>
  <si>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</si>
  <si>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</si>
  <si>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</si>
  <si>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</si>
  <si>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</si>
  <si>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</si>
  <si>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</si>
  <si>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</si>
  <si>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</si>
  <si>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</si>
  <si>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</si>
  <si>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</si>
  <si>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</si>
  <si>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</si>
  <si>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</si>
  <si>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</si>
  <si>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</si>
  <si>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</si>
  <si>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</si>
  <si>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</si>
  <si>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</si>
  <si>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</si>
  <si>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</si>
  <si>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</si>
  <si>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</si>
  <si>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</si>
  <si>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</si>
  <si>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</si>
  <si>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</si>
  <si>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</si>
  <si>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</si>
  <si>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</si>
  <si>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</si>
  <si>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</si>
  <si>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</si>
  <si>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</si>
  <si>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</si>
  <si>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</si>
  <si>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</si>
  <si>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</si>
  <si>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</si>
  <si>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</si>
  <si>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</si>
  <si>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</si>
  <si>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</si>
  <si>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</si>
  <si>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</si>
  <si>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</si>
  <si>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</si>
  <si>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</si>
  <si>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</si>
  <si>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</si>
  <si>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</si>
  <si>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</si>
  <si>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</si>
  <si>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</si>
  <si>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</si>
  <si>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</si>
  <si>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</si>
  <si>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</si>
  <si>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</si>
  <si>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</si>
  <si>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</si>
  <si>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</si>
  <si>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</si>
  <si>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</si>
  <si>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</si>
  <si>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</si>
  <si>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</si>
  <si>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</si>
  <si>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</si>
  <si>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</si>
  <si>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</si>
  <si>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</si>
  <si>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</si>
  <si>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</si>
  <si>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</si>
  <si>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</si>
  <si>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</si>
  <si>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</si>
  <si>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</si>
  <si>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</si>
  <si>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</si>
  <si>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</si>
  <si>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</si>
  <si>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</si>
  <si>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</si>
  <si>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</si>
  <si>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</si>
  <si>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</si>
  <si>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</si>
  <si>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</si>
  <si>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</si>
  <si>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</si>
  <si>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</si>
  <si>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</si>
  <si>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</si>
  <si>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</si>
  <si>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</si>
  <si>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</si>
  <si>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</si>
  <si>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</si>
  <si>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</si>
  <si>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</si>
  <si>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</si>
  <si>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</si>
  <si>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</si>
  <si>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</si>
  <si>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</si>
  <si>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</si>
  <si>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</si>
  <si>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</si>
  <si>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</si>
  <si>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</si>
  <si>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</si>
  <si>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</si>
  <si>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</si>
  <si>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</si>
  <si>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</si>
  <si>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</si>
  <si>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</si>
  <si>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</si>
  <si>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</si>
  <si>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</si>
  <si>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</si>
  <si>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</si>
  <si>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</si>
  <si>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</si>
  <si>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</si>
  <si>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</si>
  <si>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</si>
  <si>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</si>
  <si>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</si>
  <si>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</si>
  <si>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</si>
  <si>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</si>
  <si>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</si>
  <si>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</si>
  <si>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</si>
  <si>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</si>
  <si>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</si>
  <si>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</si>
  <si>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</si>
  <si>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</si>
  <si>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</si>
  <si>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</si>
  <si>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</si>
  <si>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</si>
  <si>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</si>
  <si>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</si>
  <si>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</si>
  <si>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</si>
  <si>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</si>
  <si>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</si>
  <si>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</si>
  <si>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</si>
  <si>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</si>
  <si>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</si>
  <si>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</si>
  <si>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</si>
  <si>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</si>
  <si>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</si>
  <si>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</si>
  <si>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</si>
  <si>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</si>
  <si>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</si>
  <si>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</si>
  <si>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</si>
  <si>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</si>
  <si>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</si>
  <si>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</si>
  <si>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</si>
  <si>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</si>
  <si>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</si>
  <si>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</si>
  <si>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</si>
  <si>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</si>
  <si>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</si>
  <si>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</si>
  <si>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</si>
  <si>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</si>
  <si>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</si>
  <si>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</si>
  <si>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</si>
  <si>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</si>
  <si>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</si>
  <si>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</si>
  <si>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</si>
  <si>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</si>
  <si>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</si>
  <si>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</si>
  <si>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</si>
  <si>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</si>
  <si>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</si>
  <si>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</si>
  <si>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</si>
  <si>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</si>
  <si>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</si>
  <si>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</si>
  <si>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</si>
  <si>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</si>
  <si>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</si>
  <si>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</si>
  <si>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</si>
  <si>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</si>
  <si>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</si>
  <si>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</si>
  <si>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</si>
  <si>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</si>
  <si>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</si>
  <si>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</si>
  <si>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</si>
  <si>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</si>
  <si>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</si>
  <si>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</si>
  <si>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</si>
  <si>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</si>
  <si>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</si>
  <si>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</si>
  <si>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</si>
  <si>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</si>
  <si>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</si>
  <si>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</si>
  <si>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</si>
  <si>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</si>
  <si>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</si>
  <si>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</si>
  <si>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</si>
  <si>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</si>
  <si>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</si>
  <si>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</si>
  <si>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</si>
  <si>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</si>
  <si>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</si>
  <si>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</si>
  <si>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</si>
  <si>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</si>
  <si>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</si>
  <si>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</si>
  <si>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</si>
  <si>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</si>
  <si>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</si>
  <si>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</si>
  <si>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</si>
  <si>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</si>
  <si>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</si>
  <si>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</si>
  <si>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</si>
  <si>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</si>
  <si>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</si>
  <si>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</si>
  <si>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</si>
  <si>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</si>
  <si>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</si>
  <si>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</si>
  <si>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</si>
  <si>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</si>
  <si>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</si>
  <si>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</si>
  <si>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</si>
  <si>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</si>
  <si>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</si>
  <si>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</si>
  <si>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</si>
  <si>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</si>
  <si>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</si>
  <si>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</si>
  <si>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</si>
  <si>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</si>
  <si>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</si>
  <si>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</si>
  <si>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</si>
  <si>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</si>
  <si>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</si>
  <si>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</si>
  <si>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</si>
  <si>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</si>
  <si>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</si>
  <si>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</si>
  <si>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</si>
  <si>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</si>
  <si>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</si>
  <si>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</si>
  <si>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</si>
  <si>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</si>
  <si>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</si>
  <si>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</si>
  <si>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</si>
  <si>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</si>
  <si>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</si>
  <si>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</si>
  <si>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</si>
  <si>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</si>
  <si>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</si>
  <si>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</si>
  <si>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</si>
  <si>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</si>
  <si>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</si>
  <si>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</si>
  <si>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</si>
  <si>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</si>
  <si>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</si>
  <si>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</si>
  <si>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</si>
  <si>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</si>
  <si>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</si>
  <si>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</si>
  <si>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</si>
  <si>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</si>
  <si>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</si>
  <si>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</si>
  <si>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</si>
  <si>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</si>
  <si>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</si>
  <si>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</si>
  <si>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</si>
  <si>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</si>
  <si>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</si>
  <si>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</si>
  <si>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</si>
  <si>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</si>
  <si>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</si>
  <si>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</si>
  <si>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</si>
  <si>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</si>
  <si>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</si>
  <si>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</si>
  <si>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</si>
  <si>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</si>
  <si>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</si>
  <si>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</si>
  <si>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</si>
  <si>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</si>
  <si>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</si>
  <si>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</si>
  <si>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</si>
  <si>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</si>
  <si>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</si>
  <si>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</si>
  <si>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</si>
  <si>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</si>
  <si>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</si>
  <si>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</si>
  <si>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</si>
  <si>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</si>
  <si>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</si>
  <si>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</si>
  <si>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</si>
  <si>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</si>
  <si>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</si>
  <si>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</si>
  <si>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</si>
  <si>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</si>
  <si>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</si>
  <si>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</si>
  <si>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</si>
  <si>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</si>
  <si>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</si>
  <si>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</si>
  <si>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</si>
  <si>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</si>
  <si>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</si>
  <si>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</si>
  <si>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</si>
  <si>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</si>
  <si>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</si>
  <si>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</si>
  <si>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</si>
  <si>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</si>
  <si>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</si>
  <si>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</si>
  <si>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</si>
  <si>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</si>
  <si>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</si>
  <si>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</si>
  <si>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</si>
  <si>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</si>
  <si>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</si>
  <si>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</si>
  <si>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</si>
  <si>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</si>
  <si>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</si>
  <si>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</si>
  <si>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</si>
  <si>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</si>
  <si>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</si>
  <si>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</si>
  <si>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</si>
  <si>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</si>
  <si>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</si>
  <si>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</si>
  <si>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</si>
  <si>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</si>
  <si>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</si>
  <si>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</si>
  <si>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</si>
  <si>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</si>
  <si>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</si>
  <si>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</si>
  <si>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</si>
  <si>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</si>
  <si>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</si>
  <si>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</si>
  <si>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</si>
  <si>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</si>
  <si>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</si>
  <si>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</si>
  <si>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</si>
  <si>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</si>
  <si>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</si>
  <si>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</si>
  <si>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</si>
  <si>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</si>
  <si>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</si>
  <si>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</si>
  <si>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</si>
  <si>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</si>
  <si>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</si>
  <si>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</si>
  <si>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</si>
  <si>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</si>
  <si>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</si>
  <si>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</si>
  <si>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</si>
  <si>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</si>
  <si>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</si>
  <si>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</si>
  <si>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</si>
  <si>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</si>
  <si>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</si>
  <si>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</si>
  <si>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</si>
  <si>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</si>
  <si>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</si>
  <si>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</si>
  <si>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</si>
  <si>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</si>
  <si>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</si>
  <si>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</si>
  <si>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</si>
  <si>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</si>
  <si>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</si>
  <si>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</si>
  <si>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</si>
  <si>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</si>
  <si>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</si>
  <si>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</si>
  <si>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</si>
  <si>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</si>
  <si>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</si>
  <si>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</si>
  <si>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</si>
  <si>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</si>
  <si>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</si>
  <si>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</si>
  <si>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</si>
  <si>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</si>
  <si>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</si>
  <si>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</si>
  <si>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</si>
  <si>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</si>
  <si>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</si>
  <si>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</si>
  <si>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</si>
  <si>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</si>
  <si>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</si>
  <si>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</si>
  <si>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</si>
  <si>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</si>
  <si>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</si>
  <si>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</si>
  <si>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</si>
  <si>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</si>
  <si>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</si>
  <si>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</si>
  <si>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</si>
  <si>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</si>
  <si>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</si>
  <si>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</si>
  <si>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</si>
  <si>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</si>
  <si>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</si>
  <si>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</si>
  <si>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</si>
  <si>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</si>
  <si>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</si>
  <si>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</si>
  <si>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</si>
  <si>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</si>
  <si>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</si>
  <si>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</si>
  <si>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</si>
  <si>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</si>
  <si>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</si>
  <si>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</si>
  <si>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</si>
  <si>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</si>
  <si>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</si>
  <si>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</si>
  <si>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</si>
  <si>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</si>
  <si>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</si>
  <si>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</si>
  <si>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</si>
  <si>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</si>
  <si>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</si>
  <si>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</si>
  <si>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</si>
  <si>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</si>
  <si>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</si>
  <si>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</si>
  <si>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</si>
  <si>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</si>
  <si>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</si>
  <si>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</si>
  <si>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</si>
  <si>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</si>
  <si>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</si>
  <si>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</si>
  <si>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</si>
  <si>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</si>
  <si>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</si>
  <si>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</si>
  <si>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</si>
  <si>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</si>
  <si>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</si>
  <si>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</si>
  <si>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</si>
  <si>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</si>
  <si>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</si>
  <si>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</si>
  <si>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</si>
  <si>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</si>
  <si>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</si>
  <si>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</si>
  <si>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</si>
  <si>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</si>
  <si>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</si>
  <si>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</si>
  <si>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</si>
  <si>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</si>
  <si>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</si>
  <si>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</si>
  <si>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</si>
  <si>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</si>
  <si>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</si>
  <si>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</si>
  <si>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</si>
  <si>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</si>
  <si>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</si>
  <si>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</si>
  <si>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</si>
  <si>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</si>
  <si>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</si>
  <si>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</si>
  <si>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</si>
  <si>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</si>
  <si>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</si>
  <si>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</si>
  <si>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</si>
  <si>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</si>
  <si>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</si>
  <si>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</si>
  <si>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</si>
  <si>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</si>
  <si>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</si>
  <si>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</si>
  <si>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</si>
  <si>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</si>
  <si>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</si>
  <si>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</si>
  <si>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</si>
  <si>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</si>
  <si>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</si>
  <si>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</si>
  <si>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</si>
  <si>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</si>
  <si>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</si>
  <si>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</si>
  <si>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</si>
  <si>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</si>
  <si>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</si>
  <si>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</si>
  <si>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</si>
  <si>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</si>
  <si>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</si>
  <si>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</si>
  <si>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</si>
  <si>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</si>
  <si>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</si>
  <si>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</si>
  <si>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</si>
  <si>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</si>
  <si>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</si>
  <si>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</si>
  <si>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</si>
  <si>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</si>
  <si>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</si>
  <si>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</si>
  <si>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</si>
  <si>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</si>
  <si>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</si>
  <si>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</si>
  <si>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</si>
  <si>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</si>
  <si>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</si>
  <si>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</si>
  <si>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</si>
  <si>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</si>
  <si>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</si>
  <si>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</si>
  <si>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</si>
  <si>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</si>
  <si>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</si>
  <si>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</si>
  <si>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</si>
  <si>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</si>
  <si>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</si>
  <si>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</si>
  <si>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</si>
  <si>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</si>
  <si>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</si>
  <si>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</si>
  <si>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</si>
  <si>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</si>
  <si>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</si>
  <si>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</si>
  <si>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</si>
  <si>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</si>
  <si>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</si>
  <si>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</si>
  <si>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</si>
  <si>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</si>
  <si>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</si>
  <si>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</si>
  <si>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</si>
  <si>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</si>
  <si>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</si>
  <si>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</si>
  <si>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</si>
  <si>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</si>
  <si>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</si>
  <si>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</si>
  <si>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</si>
  <si>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</si>
  <si>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</si>
  <si>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</si>
  <si>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</si>
  <si>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</si>
  <si>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</si>
  <si>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</si>
  <si>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</si>
  <si>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</si>
  <si>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</si>
  <si>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</si>
  <si>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</si>
  <si>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</si>
  <si>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</si>
  <si>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</si>
  <si>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</si>
  <si>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</si>
  <si>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</si>
  <si>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</si>
  <si>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</si>
  <si>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</si>
  <si>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</si>
  <si>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</si>
  <si>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</si>
  <si>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</si>
  <si>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</si>
  <si>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</si>
  <si>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</si>
  <si>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</si>
  <si>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</si>
  <si>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</si>
  <si>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</si>
  <si>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</si>
  <si>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</si>
  <si>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</si>
  <si>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</si>
  <si>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</si>
  <si>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</si>
  <si>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</si>
  <si>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</si>
  <si>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</si>
  <si>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</si>
  <si>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</si>
  <si>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</si>
  <si>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</si>
  <si>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</si>
  <si>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</si>
  <si>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</si>
  <si>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</si>
  <si>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</si>
  <si>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</si>
  <si>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</si>
  <si>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</si>
  <si>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</si>
  <si>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</si>
  <si>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</si>
  <si>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</si>
  <si>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</si>
  <si>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</si>
  <si>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</si>
  <si>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</si>
  <si>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</si>
  <si>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</si>
  <si>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</si>
  <si>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</si>
  <si>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</si>
  <si>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</si>
  <si>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</si>
  <si>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</si>
  <si>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</si>
  <si>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</si>
  <si>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</si>
  <si>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</si>
  <si>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</si>
  <si>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</si>
  <si>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</si>
  <si>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</si>
  <si>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</si>
  <si>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</si>
  <si>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</si>
  <si>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</si>
  <si>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</si>
  <si>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</si>
  <si>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</si>
  <si>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</si>
  <si>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</si>
  <si>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</si>
  <si>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</si>
  <si>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</si>
  <si>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</si>
  <si>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</si>
  <si>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</si>
  <si>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</si>
  <si>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</si>
  <si>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</si>
  <si>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</si>
  <si>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</si>
  <si>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</si>
  <si>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</si>
  <si>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</si>
  <si>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</si>
  <si>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</si>
  <si>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</si>
  <si>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</si>
  <si>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</si>
  <si>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</si>
  <si>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</si>
  <si>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</si>
  <si>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</si>
  <si>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</si>
  <si>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</si>
  <si>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</si>
  <si>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</si>
  <si>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</si>
  <si>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</si>
  <si>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</si>
  <si>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</si>
  <si>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</si>
  <si>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</si>
  <si>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</si>
  <si>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</si>
  <si>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</si>
  <si>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</si>
  <si>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</si>
  <si>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</si>
  <si>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</si>
  <si>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</si>
  <si>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</si>
  <si>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</si>
  <si>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</si>
  <si>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</si>
  <si>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</si>
  <si>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</si>
  <si>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</si>
  <si>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</si>
  <si>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</si>
  <si>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</si>
  <si>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</si>
  <si>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</si>
  <si>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</si>
  <si>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</si>
  <si>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</si>
  <si>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</si>
  <si>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</si>
  <si>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</si>
  <si>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</si>
  <si>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</si>
  <si>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</si>
  <si>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</si>
  <si>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</si>
  <si>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</si>
  <si>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</si>
  <si>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</si>
  <si>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</si>
  <si>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</si>
  <si>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</si>
  <si>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</si>
  <si>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</si>
  <si>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</si>
  <si>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</si>
  <si>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</si>
  <si>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</si>
  <si>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</si>
  <si>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</si>
  <si>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</si>
  <si>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</si>
  <si>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</si>
  <si>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</si>
  <si>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</si>
  <si>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</si>
  <si>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</si>
  <si>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</si>
  <si>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</si>
  <si>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</si>
  <si>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</si>
  <si>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</si>
  <si>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</si>
  <si>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</si>
  <si>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</si>
  <si>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</si>
  <si>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</si>
  <si>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</si>
  <si>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</si>
  <si>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</si>
  <si>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</si>
  <si>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</si>
  <si>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</si>
  <si>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</si>
  <si>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</si>
  <si>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</si>
  <si>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</si>
  <si>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</si>
  <si>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</si>
  <si>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</si>
  <si>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</si>
  <si>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</si>
  <si>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</si>
  <si>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</si>
  <si>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</si>
  <si>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</si>
  <si>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</si>
  <si>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</si>
  <si>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</si>
  <si>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</si>
  <si>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</si>
  <si>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</si>
  <si>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</si>
  <si>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</si>
  <si>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</si>
  <si>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</si>
  <si>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</si>
  <si>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</si>
  <si>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</si>
  <si>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</si>
  <si>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</si>
  <si>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</si>
  <si>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</si>
  <si>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</si>
  <si>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</si>
  <si>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</si>
  <si>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</si>
  <si>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</si>
  <si>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</si>
  <si>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</si>
  <si>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</si>
  <si>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</si>
  <si>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</si>
  <si>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</si>
  <si>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</si>
  <si>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</si>
  <si>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</si>
  <si>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</si>
  <si>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</si>
  <si>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</si>
  <si>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</si>
  <si>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</si>
  <si>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</si>
  <si>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</si>
  <si>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</si>
  <si>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</si>
  <si>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</si>
  <si>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</si>
  <si>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</si>
  <si>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</si>
  <si>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</si>
  <si>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</si>
  <si>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</si>
  <si>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</si>
  <si>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</si>
  <si>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</si>
  <si>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</si>
  <si>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</si>
  <si>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</si>
  <si>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</si>
  <si>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</si>
  <si>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</si>
  <si>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</si>
  <si>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</si>
  <si>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</si>
  <si>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</si>
  <si>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</si>
  <si>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</si>
  <si>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</si>
  <si>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</si>
  <si>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</si>
  <si>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</si>
  <si>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</si>
  <si>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</si>
  <si>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</si>
  <si>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</si>
  <si>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</si>
  <si>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</si>
  <si>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</si>
  <si>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</si>
  <si>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</si>
  <si>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</si>
  <si>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</si>
  <si>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</si>
  <si>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</si>
  <si>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</si>
  <si>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</si>
  <si>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</si>
  <si>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</si>
  <si>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</si>
  <si>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</si>
  <si>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</si>
  <si>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</si>
  <si>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</si>
  <si>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</si>
  <si>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</si>
  <si>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</si>
  <si>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</si>
  <si>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</si>
  <si>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</si>
  <si>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</si>
  <si>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</si>
  <si>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</si>
  <si>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</si>
  <si>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</si>
  <si>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</si>
  <si>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</si>
  <si>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</si>
  <si>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</si>
  <si>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</si>
  <si>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</si>
  <si>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</si>
  <si>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</si>
  <si>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</si>
  <si>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</si>
  <si>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</si>
  <si>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</si>
  <si>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</si>
  <si>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</si>
  <si>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</si>
  <si>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</si>
  <si>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</si>
  <si>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</si>
  <si>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</si>
  <si>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</si>
  <si>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</si>
  <si>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</si>
  <si>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</si>
  <si>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</si>
  <si>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</si>
  <si>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</si>
  <si>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</si>
  <si>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</si>
  <si>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</si>
  <si>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</si>
  <si>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</si>
  <si>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</si>
  <si>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</si>
  <si>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</si>
  <si>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</si>
  <si>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</si>
  <si>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</si>
  <si>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</si>
  <si>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</si>
  <si>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</si>
  <si>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</si>
  <si>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</si>
  <si>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</si>
  <si>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</si>
  <si>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</si>
  <si>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</si>
  <si>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</si>
  <si>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</si>
  <si>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</si>
  <si>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</si>
  <si>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</si>
  <si>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</si>
  <si>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</si>
  <si>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</si>
  <si>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</si>
  <si>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</si>
  <si>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</si>
  <si>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</si>
  <si>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</si>
  <si>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</si>
  <si>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</si>
  <si>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</si>
  <si>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</si>
  <si>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</si>
  <si>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</si>
  <si>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</si>
  <si>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</si>
  <si>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</si>
  <si>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</si>
  <si>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</si>
  <si>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</si>
  <si>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</si>
  <si>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</si>
  <si>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</si>
  <si>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</si>
  <si>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</si>
  <si>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</si>
  <si>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</si>
  <si>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</si>
  <si>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</si>
  <si>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</si>
  <si>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</si>
  <si>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</si>
  <si>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</si>
  <si>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</si>
  <si>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</si>
  <si>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</si>
  <si>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</si>
  <si>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</si>
  <si>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</si>
  <si>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</si>
  <si>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</si>
  <si>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</si>
  <si>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</si>
  <si>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</si>
  <si>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</si>
  <si>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</si>
  <si>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</si>
  <si>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</si>
  <si>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</si>
  <si>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</si>
  <si>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</si>
  <si>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</si>
  <si>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</si>
  <si>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</si>
  <si>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</si>
  <si>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</si>
  <si>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</si>
  <si>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</si>
  <si>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</si>
  <si>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</si>
  <si>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</si>
  <si>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</si>
  <si>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</si>
  <si>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</si>
  <si>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</si>
  <si>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</si>
  <si>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</si>
  <si>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</si>
  <si>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</si>
  <si>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</si>
  <si>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</si>
  <si>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</si>
  <si>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</si>
  <si>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</si>
  <si>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</si>
  <si>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</si>
  <si>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</si>
  <si>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</si>
  <si>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</si>
  <si>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</si>
  <si>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</si>
  <si>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</si>
  <si>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</si>
  <si>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</si>
  <si>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</si>
  <si>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</si>
  <si>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</si>
  <si>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</si>
  <si>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</si>
  <si>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</si>
  <si>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</si>
  <si>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</si>
  <si>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</si>
  <si>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</si>
  <si>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</si>
  <si>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</si>
  <si>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</si>
  <si>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</si>
  <si>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</si>
  <si>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</si>
  <si>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</si>
  <si>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</si>
  <si>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</si>
  <si>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</si>
  <si>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</si>
  <si>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</si>
  <si>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</si>
  <si>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</si>
  <si>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</si>
  <si>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</si>
  <si>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</si>
  <si>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</si>
  <si>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</si>
  <si>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</si>
  <si>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</si>
  <si>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</si>
  <si>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</si>
  <si>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</si>
  <si>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</si>
  <si>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</si>
  <si>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</si>
  <si>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</si>
  <si>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</si>
  <si>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</si>
  <si>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</si>
  <si>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</si>
  <si>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</si>
  <si>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</si>
  <si>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</si>
  <si>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</si>
  <si>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</si>
  <si>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</si>
  <si>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</si>
  <si>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</si>
  <si>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</si>
  <si>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</si>
  <si>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</si>
  <si>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</si>
  <si>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</si>
  <si>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</si>
  <si>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</si>
  <si>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</si>
  <si>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</si>
  <si>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</si>
  <si>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</si>
  <si>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</si>
  <si>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</si>
  <si>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</si>
  <si>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</si>
  <si>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</si>
  <si>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</si>
  <si>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</si>
  <si>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</si>
  <si>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</si>
  <si>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</si>
  <si>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</si>
  <si>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</si>
  <si>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</si>
  <si>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</si>
  <si>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</si>
  <si>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</si>
  <si>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</si>
  <si>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</si>
  <si>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</si>
  <si>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</si>
  <si>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</si>
  <si>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rýchlokorčuľovanie - bežné transfery</t>
  </si>
  <si>
    <t>Organizácia podujatia
názov podujatia: MSJ Salt Lake City
miesto konania: Salt Lake City (Utah, USA)
termín (od-do): 29. 1. - 1. 2. 2026
počet aktívnych účastníkov: 4</t>
  </si>
  <si>
    <t>Poistenie</t>
  </si>
  <si>
    <t>46124063</t>
  </si>
  <si>
    <t>ERB CONSULTING s.r.o. Prešov</t>
  </si>
  <si>
    <t>služby trénera -január 2026</t>
  </si>
  <si>
    <t>51963906</t>
  </si>
  <si>
    <t>Peter Jeleň</t>
  </si>
  <si>
    <t>ubytovanie Salt Lake City</t>
  </si>
  <si>
    <t>Double Tree by Hilton Salt Lake City, Utah</t>
  </si>
  <si>
    <t>Organizácia podujatia
názov podujatia: ZOH Miláno - Cortina 2026
miesto konania: Miláno
termín (od-do): 5. 2. 2026 - 13. 2. 2026
počet aktívnych účastníkov: 3</t>
  </si>
  <si>
    <t>služby trénera na ZOH</t>
  </si>
  <si>
    <t>42226589</t>
  </si>
  <si>
    <t>ŠKM Akademik - B. Hympánová</t>
  </si>
  <si>
    <t>Organizácia podujatia
názov podujatia: 3. kolo Slovenského pohára
miesto konania: Sabinov
termín: 31.1.2026
počet aktívnych účastníkov:</t>
  </si>
  <si>
    <t>Medaile, poháre</t>
  </si>
  <si>
    <t>MAAD.sk, s.r.o., Košice</t>
  </si>
  <si>
    <t>preprava matracov</t>
  </si>
  <si>
    <t>55426735</t>
  </si>
  <si>
    <t>NVN Logistic, s. r. o.</t>
  </si>
  <si>
    <t>prenájom ľadovej plochy</t>
  </si>
  <si>
    <t>00149683</t>
  </si>
  <si>
    <t>Mestské kultúrne stredisko Sabinov</t>
  </si>
  <si>
    <t>Organizácia podujatia
názov podujatia: Long Track Majstr. SVK
miesto konania: Inzell, Nemecko
termín:
počet aktívnych účastníkov:
počet odpracovaných hodín spolu:</t>
  </si>
  <si>
    <t>technické zabezpečenie a časomiera</t>
  </si>
  <si>
    <t>50316010</t>
  </si>
  <si>
    <t>Adalbert s.r.o.</t>
  </si>
  <si>
    <t>startovne MSR LT refundácia</t>
  </si>
  <si>
    <t>Renáta Karabová</t>
  </si>
  <si>
    <t>vyúčtovanie  PHM - sústredenie LT</t>
  </si>
  <si>
    <t>Organizácia podujatia
názov podujatia: ISU Short track MS
miesto konania: Montréal (CAN)
termín (od-do): 9. 3. 2026 - 16. 3. 2026
počet aktívnych účastníkov: 4</t>
  </si>
  <si>
    <t>Letenky</t>
  </si>
  <si>
    <t>eSky</t>
  </si>
  <si>
    <t>prenájom ľadovej plochy počas MS</t>
  </si>
  <si>
    <t>Speed Skating Canada</t>
  </si>
  <si>
    <t>stravné počas MS, Montréal (CAN)</t>
  </si>
  <si>
    <t>Plaza Universel, Montréal</t>
  </si>
  <si>
    <t>ubytovanie počas MS, Montréal (CAN)</t>
  </si>
  <si>
    <t>Služby trénera</t>
  </si>
  <si>
    <t>Organizácia podujatia
názov podujatia: Finále Európskeho pohára, Danubia
miesto konania: Budapest
termín (od-do): 6. 3. 2026 - 8. 3. 2026
počet aktívnych účastníkov:</t>
  </si>
  <si>
    <t>diaľničná známka, Maďarsko</t>
  </si>
  <si>
    <t>AutoVignet Kft.</t>
  </si>
  <si>
    <t>ubytovanie Budapest</t>
  </si>
  <si>
    <t>Diana Club Hotel, Budapest</t>
  </si>
  <si>
    <t>PHM tankovanie</t>
  </si>
  <si>
    <t>31322832</t>
  </si>
  <si>
    <t>Slovnaft, a. s. Bratislava</t>
  </si>
  <si>
    <t xml:space="preserve">Organizácia podujatia
názov podujatia: 4. kolo Slovenského pohára
miesto konania: Sabinov
termín: 
počet aktívnych účastníkov:  </t>
  </si>
  <si>
    <t>dobrovoľnícka činnosť - rozhodcovia, štartér, pomocný personál a ostatní</t>
  </si>
  <si>
    <t>rozhodcovia J. Šťastný, J. Sivoková a štartéri Marcin, P. Paroulek, kúželkári - Ondrejčáková, D. Sedlák, heatbox- Sasaráková, Onušková, otáčanie kôl - Z. Kmecová</t>
  </si>
  <si>
    <t>Organizácia podujatia
názov podujatia: Majstrovstvá Slovenska ST 
miesto konania: Sabinov
termín (od-do): 22. 3. 2026
počet aktívnych účastníkov:</t>
  </si>
  <si>
    <t>rozhodcovia A. Hympánová, J. Palkovič a štartéri Marcin, P. Paroulek, kúželkári - Ondrejčáková, D. Sedlák, heatbox - Sasaráková, Onušková, otáčanie kôl - Z. Kmecová</t>
  </si>
  <si>
    <t>servisná prehliadka auta SRZ</t>
  </si>
  <si>
    <t>43986188</t>
  </si>
  <si>
    <t>R&amp;T Service, s. r. o.</t>
  </si>
  <si>
    <t>refundácia nákladov na základe zmluvy za RK INLINECENTER, o. z.: Sústredenie juniorov Veselí n/M., 6.3.-8.3.2026, tréner: 1, športovci: 4, náklady na cestovné, PHM</t>
  </si>
  <si>
    <t>42109221</t>
  </si>
  <si>
    <t>RK INLINECENTER, o. z.</t>
  </si>
  <si>
    <t>poplatok za debetnú kartu</t>
  </si>
  <si>
    <t>31575951</t>
  </si>
  <si>
    <t>Prima banka Slovensko, a. s.</t>
  </si>
  <si>
    <t>poplatok za vedenie účtu</t>
  </si>
  <si>
    <t>vedenie účtovníctva</t>
  </si>
  <si>
    <t>50728857</t>
  </si>
  <si>
    <t>Ing. Roman Iskra - Profin</t>
  </si>
  <si>
    <t>poplatok za cezhraničný príkaz na úhradu</t>
  </si>
  <si>
    <t>52961818</t>
  </si>
  <si>
    <t>PO Development, a. s.</t>
  </si>
  <si>
    <t>právne služby</t>
  </si>
  <si>
    <t>35544082</t>
  </si>
  <si>
    <t>JUDr. Ľubomír Ondov</t>
  </si>
  <si>
    <t>prenájam priestorov - SRZ 4/2026</t>
  </si>
  <si>
    <t>vedenie účtovníctva + ročný štatistic. výk.</t>
  </si>
  <si>
    <t>prenájam priestorov - SRZ 5/2026</t>
  </si>
  <si>
    <t>ročné povinné zmluvné poistné, EČV SN361DI</t>
  </si>
  <si>
    <t>00585441</t>
  </si>
  <si>
    <t>Kooperativa, a. s.</t>
  </si>
  <si>
    <t>prenájam priestorov - SRZ 6/2026</t>
  </si>
  <si>
    <t>refundácia nákladov na základe zmluvy za RK INLINECENTER, o. z.: Sústredenie juniorov Gera (Ger), 14.5.-17.5.2026, tréner: 1, športovci: 3, cestovné, PHM</t>
  </si>
  <si>
    <t>refundácia nákladov na základe zmluvy za RK INLINECENTER, o. z.: Sústredenie juniorov Veselí n/M., 2.4.-6.4.2026, tréner: 1, športovci: 4, náklady na cestovné, PHM</t>
  </si>
  <si>
    <t>refundácia nákladov na základe zmluvy za RK INLINECENTER, o. z.: Sústredenie juniorov Veselí n./M., 13. 3.-15.3.2026, tréner: 1, športovci: 4, náklady na ubytovanie trénera, cestovné, PHM</t>
  </si>
  <si>
    <t>Skating Club Košice, o. z.</t>
  </si>
  <si>
    <t>refundácia nákladov na základe zmluvy za Skating Club Košice: Sústredenie juniorov Veselí n/M., 2.4.-4.4.2026, tréner: 1, športovci: 3, náklady na cestovné, PHM, diéty</t>
  </si>
  <si>
    <t>35542331</t>
  </si>
  <si>
    <t>refundácia nákladov na základe zmluvy za Skating Club Košice: Sústredenie juniorov Tatranská Lomnica, 15.5.-17.5.2026, tréneri: 2, športovci: 11, náklady na ubytovanie, cestovné, PHM</t>
  </si>
  <si>
    <t>vypracovanie daňového priznania, vedenie účtovníctva</t>
  </si>
  <si>
    <t>prenájam priestorov - SRZ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</si>
</sst>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03" val="8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topLeftCell="A4"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30"/>
      <c r="D2" s="330"/>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31"/>
      <c r="D22" s="331"/>
    </row>
    <row r="23" spans="1:4" x14ac:dyDescent="0.2">
      <c r="C23" s="332"/>
      <c r="D23" s="331"/>
    </row>
    <row r="24" spans="1:4" ht="68.099999999999994" customHeight="1" x14ac:dyDescent="0.2">
      <c r="A24" s="23" t="s">
        <v>1232</v>
      </c>
      <c r="C24" s="247"/>
      <c r="D24" s="248"/>
    </row>
    <row r="25" spans="1:4" x14ac:dyDescent="0.2">
      <c r="C25" s="328"/>
      <c r="D25" s="329"/>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Slovenský rýchlokorčuliarsky zväz, Bancíkovej 17007/1A, Bratislava 2, 821 03</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30688060</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29"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33" t="s">
        <v>51</v>
      </c>
      <c r="B1" s="333"/>
      <c r="C1" s="333"/>
      <c r="D1" s="333"/>
      <c r="E1" s="333"/>
      <c r="F1" s="333"/>
      <c r="G1" s="333"/>
      <c r="H1" s="333"/>
      <c r="I1" s="52"/>
      <c r="J1" s="37"/>
    </row>
    <row r="2" spans="1:11" ht="15" x14ac:dyDescent="0.25">
      <c r="A2" s="339" t="str">
        <f>Doklady!A100</f>
        <v>Priebežné čerpanie a vyúčtovanie finančných prostriedkov poskytnutých zo štátneho rozpočtu v oblasti športu v roku 2026</v>
      </c>
      <c r="B2" s="339"/>
      <c r="C2" s="339"/>
      <c r="D2" s="339"/>
      <c r="E2" s="339"/>
      <c r="F2" s="339"/>
      <c r="G2" s="339"/>
      <c r="H2" s="337" t="str">
        <f>+Doklady!I100</f>
        <v>V1</v>
      </c>
      <c r="I2" s="337"/>
    </row>
    <row r="3" spans="1:11" ht="15" x14ac:dyDescent="0.25">
      <c r="A3" s="40"/>
      <c r="B3" s="40"/>
      <c r="C3" s="40"/>
      <c r="D3" s="40"/>
      <c r="E3" s="40"/>
      <c r="F3" s="40"/>
      <c r="G3" s="40"/>
      <c r="H3" s="338">
        <f>+Doklady!I101</f>
        <v>46053</v>
      </c>
      <c r="I3" s="338"/>
    </row>
    <row r="4" spans="1:11" ht="15.75" customHeight="1" x14ac:dyDescent="0.2">
      <c r="A4" s="41" t="s">
        <v>52</v>
      </c>
      <c r="B4" s="334" t="s">
        <v>53</v>
      </c>
      <c r="C4" s="335"/>
      <c r="D4" s="335"/>
      <c r="E4" s="336"/>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42" t="s">
        <v>1561</v>
      </c>
      <c r="B1" s="343"/>
      <c r="C1" s="166">
        <v>46053</v>
      </c>
      <c r="D1" s="26"/>
      <c r="G1" s="244">
        <v>46053</v>
      </c>
    </row>
    <row r="2" spans="1:7" ht="15" x14ac:dyDescent="0.25">
      <c r="A2" s="28"/>
      <c r="B2" s="28"/>
      <c r="G2" s="244">
        <v>46081</v>
      </c>
    </row>
    <row r="3" spans="1:7" ht="14.25" x14ac:dyDescent="0.2">
      <c r="A3" s="30" t="s">
        <v>214</v>
      </c>
      <c r="B3" s="340" t="str">
        <f>INDEX(Adr!B:B,Doklady!B102+1)</f>
        <v>Slovenský rýchlokorčuliarsky zväz</v>
      </c>
      <c r="C3" s="340"/>
      <c r="D3" s="340"/>
      <c r="G3" s="244">
        <v>46112</v>
      </c>
    </row>
    <row r="4" spans="1:7" ht="14.25" x14ac:dyDescent="0.2">
      <c r="A4" s="30" t="s">
        <v>215</v>
      </c>
      <c r="B4" s="29" t="str">
        <f>RIGHT("0000"&amp;INDEX(Adr!A:A,Doklady!B102+1),8)</f>
        <v>30688060</v>
      </c>
      <c r="G4" s="244">
        <v>46142</v>
      </c>
    </row>
    <row r="5" spans="1:7" ht="14.25" x14ac:dyDescent="0.2">
      <c r="A5" s="30" t="s">
        <v>216</v>
      </c>
      <c r="B5" s="29" t="str">
        <f>INDEX(Adr!D:D,Doklady!B102+1)&amp;", "&amp;INDEX(Adr!E:E,Doklady!B102+1)</f>
        <v>Bancíkovej 17007/1A, Bratislava 2</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75594</v>
      </c>
      <c r="G11" s="244">
        <v>46356</v>
      </c>
    </row>
    <row r="12" spans="1:7" ht="14.25" x14ac:dyDescent="0.2">
      <c r="A12" s="133" t="s">
        <v>223</v>
      </c>
      <c r="B12" s="134" t="s">
        <v>224</v>
      </c>
      <c r="C12" s="167">
        <f>+Spolu!C12</f>
        <v>24000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99594</v>
      </c>
      <c r="G15" s="244"/>
    </row>
    <row r="16" spans="1:7" ht="14.25" x14ac:dyDescent="0.2">
      <c r="G16" s="244"/>
    </row>
    <row r="17" spans="1:5" ht="72" customHeight="1" x14ac:dyDescent="0.2">
      <c r="A17" s="341" t="s">
        <v>230</v>
      </c>
      <c r="B17" s="341"/>
      <c r="C17" s="341"/>
      <c r="D17" s="341"/>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52" t="str">
        <f>Doklady!A100</f>
        <v>Priebežné čerpanie a vyúčtovanie finančných prostriedkov poskytnutých zo štátneho rozpočtu v oblasti športu v roku 2026</v>
      </c>
      <c r="B1" s="352"/>
      <c r="C1" s="352"/>
      <c r="D1" s="352"/>
      <c r="E1" s="352"/>
      <c r="F1" s="352"/>
      <c r="G1" s="352"/>
      <c r="H1" s="352"/>
      <c r="I1" s="352"/>
    </row>
    <row r="2" spans="1:26" ht="7.5" customHeight="1" x14ac:dyDescent="0.2">
      <c r="C2" s="8"/>
      <c r="D2" s="8"/>
      <c r="E2" s="8"/>
      <c r="F2" s="8"/>
      <c r="G2" s="8"/>
      <c r="H2" s="8"/>
      <c r="I2" s="8"/>
    </row>
    <row r="3" spans="1:26" s="9" customFormat="1" ht="26.1" customHeight="1" x14ac:dyDescent="0.2">
      <c r="B3" s="152" t="s">
        <v>52</v>
      </c>
      <c r="C3" s="353" t="str">
        <f>INDEX(Adr!B2:B242,Doklady!B102)</f>
        <v>Slovenský rýchlokorčuliarsky zväz</v>
      </c>
      <c r="D3" s="353"/>
      <c r="E3" s="353"/>
      <c r="F3" s="353"/>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30688060</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Bancíkovej 17007/1A, Bratislava 2, 821 03</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4" t="s">
        <v>235</v>
      </c>
      <c r="F9" s="355"/>
      <c r="J9" s="8"/>
      <c r="L9" s="118"/>
      <c r="M9" s="118"/>
      <c r="N9" s="118"/>
      <c r="O9" s="118"/>
      <c r="P9" s="118"/>
      <c r="Q9" s="118"/>
      <c r="R9" s="118"/>
      <c r="S9" s="118"/>
    </row>
    <row r="10" spans="1:26" ht="18" x14ac:dyDescent="0.25">
      <c r="A10" s="69" t="s">
        <v>219</v>
      </c>
      <c r="B10" s="70" t="s">
        <v>220</v>
      </c>
      <c r="C10" s="126">
        <f>SUMIF(FP!J:J,Doklady!$B$1&amp;A10,FP!D:D)</f>
        <v>0</v>
      </c>
      <c r="D10" s="126">
        <f>C10-E10</f>
        <v>0</v>
      </c>
      <c r="E10" s="345">
        <f>SUMIF(K:K,A10,I:I)</f>
        <v>0</v>
      </c>
      <c r="F10" s="346"/>
      <c r="L10" s="120" t="s">
        <v>236</v>
      </c>
      <c r="M10" s="118"/>
      <c r="N10" s="118"/>
      <c r="O10" s="118"/>
      <c r="P10" s="118"/>
      <c r="Q10" s="118"/>
      <c r="R10" s="118"/>
      <c r="S10" s="118"/>
    </row>
    <row r="11" spans="1:26" ht="18" x14ac:dyDescent="0.25">
      <c r="A11" s="69" t="s">
        <v>221</v>
      </c>
      <c r="B11" s="70" t="s">
        <v>222</v>
      </c>
      <c r="C11" s="126">
        <f>SUMIF(FP!J:J,Doklady!$B$1&amp;A11,FP!D:D)</f>
        <v>75594</v>
      </c>
      <c r="D11" s="126">
        <f>+C11-E11</f>
        <v>23735.89</v>
      </c>
      <c r="E11" s="356">
        <f>+I39-I42+I44-I47</f>
        <v>51858.11</v>
      </c>
      <c r="F11" s="357"/>
      <c r="J11" s="168"/>
      <c r="L11" s="153" t="str">
        <f>L41</f>
        <v>a - rýchlokorčuľovanie - bežné transfery</v>
      </c>
      <c r="M11" s="118"/>
      <c r="N11" s="118"/>
      <c r="O11" s="118"/>
      <c r="P11" s="118"/>
      <c r="Q11" s="118"/>
      <c r="R11" s="118"/>
      <c r="S11" s="118"/>
    </row>
    <row r="12" spans="1:26" ht="18" x14ac:dyDescent="0.25">
      <c r="A12" s="69" t="s">
        <v>223</v>
      </c>
      <c r="B12" s="70" t="s">
        <v>224</v>
      </c>
      <c r="C12" s="126">
        <f>SUMIF(FP!J:J,Doklady!$B$1&amp;A12,FP!D:D)</f>
        <v>24000</v>
      </c>
      <c r="D12" s="126">
        <f>C12-E12</f>
        <v>0</v>
      </c>
      <c r="E12" s="345">
        <f>SUMIF(K:K,A12,I:I)</f>
        <v>24000</v>
      </c>
      <c r="F12" s="346"/>
      <c r="J12" s="169"/>
      <c r="L12" s="153" t="str">
        <f>L42</f>
        <v>a - rýchlokorčuľovanie - kapitálové transfery</v>
      </c>
      <c r="N12" s="118"/>
      <c r="O12" s="118"/>
      <c r="P12" s="118"/>
      <c r="Q12" s="118"/>
      <c r="R12" s="118"/>
      <c r="S12" s="118"/>
    </row>
    <row r="13" spans="1:26" ht="18" x14ac:dyDescent="0.25">
      <c r="A13" s="69" t="s">
        <v>225</v>
      </c>
      <c r="B13" s="70" t="s">
        <v>226</v>
      </c>
      <c r="C13" s="126">
        <f>SUMIF(FP!J:J,Doklady!$B$1&amp;A13,FP!D:D)</f>
        <v>0</v>
      </c>
      <c r="D13" s="126">
        <f>C13-E13</f>
        <v>0</v>
      </c>
      <c r="E13" s="345">
        <f>SUMIF(K:K,A13,I:I)</f>
        <v>0</v>
      </c>
      <c r="F13" s="346"/>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58">
        <f>SUMIF(K:K,A14,I:I)</f>
        <v>0</v>
      </c>
      <c r="F14" s="359"/>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65" t="s">
        <v>238</v>
      </c>
      <c r="C16" s="366"/>
      <c r="D16" s="366"/>
      <c r="E16" s="366"/>
      <c r="F16" s="366"/>
      <c r="G16" s="366"/>
      <c r="H16" s="36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60" t="s">
        <v>241</v>
      </c>
      <c r="C17" s="360"/>
      <c r="D17" s="360"/>
      <c r="E17" s="360"/>
      <c r="F17" s="360"/>
      <c r="G17" s="360"/>
      <c r="H17" s="360"/>
      <c r="I17" s="73">
        <f>SUMIF(FP!I:I,Doklady!$B$1&amp;A17,FP!D:D)</f>
        <v>75594</v>
      </c>
      <c r="T17" s="86"/>
    </row>
    <row r="18" spans="1:20" x14ac:dyDescent="0.2">
      <c r="A18" s="135" t="s">
        <v>242</v>
      </c>
      <c r="B18" s="360" t="s">
        <v>243</v>
      </c>
      <c r="C18" s="360"/>
      <c r="D18" s="360"/>
      <c r="E18" s="360"/>
      <c r="F18" s="360"/>
      <c r="G18" s="360"/>
      <c r="H18" s="360"/>
      <c r="I18" s="73">
        <f>SUMIF(FP!I:I,Doklady!$B$1&amp;A18,FP!D:D)</f>
        <v>0</v>
      </c>
    </row>
    <row r="19" spans="1:20" x14ac:dyDescent="0.2">
      <c r="A19" s="115" t="s">
        <v>244</v>
      </c>
      <c r="B19" s="360" t="s">
        <v>245</v>
      </c>
      <c r="C19" s="360"/>
      <c r="D19" s="360"/>
      <c r="E19" s="360"/>
      <c r="F19" s="360"/>
      <c r="G19" s="360"/>
      <c r="H19" s="360"/>
      <c r="I19" s="73">
        <f>SUMIF(FP!I:I,Doklady!$B$1&amp;A19,FP!D:D)</f>
        <v>0</v>
      </c>
    </row>
    <row r="20" spans="1:20" x14ac:dyDescent="0.2">
      <c r="A20" s="135" t="s">
        <v>246</v>
      </c>
      <c r="B20" s="349" t="s">
        <v>247</v>
      </c>
      <c r="C20" s="350"/>
      <c r="D20" s="350"/>
      <c r="E20" s="350"/>
      <c r="F20" s="350"/>
      <c r="G20" s="350"/>
      <c r="H20" s="351"/>
      <c r="I20" s="73">
        <f>SUMIF(FP!I:I,Doklady!$B$1&amp;A20,FP!D:D)</f>
        <v>24000</v>
      </c>
      <c r="T20" s="86"/>
    </row>
    <row r="21" spans="1:20" x14ac:dyDescent="0.2">
      <c r="A21" s="115" t="s">
        <v>248</v>
      </c>
      <c r="B21" s="349" t="s">
        <v>249</v>
      </c>
      <c r="C21" s="350"/>
      <c r="D21" s="350"/>
      <c r="E21" s="350"/>
      <c r="F21" s="350"/>
      <c r="G21" s="350"/>
      <c r="H21" s="351"/>
      <c r="I21" s="73">
        <f>SUMIF(FP!I:I,Doklady!$B$1&amp;A21,FP!D:D)</f>
        <v>0</v>
      </c>
      <c r="T21" s="86"/>
    </row>
    <row r="22" spans="1:20" x14ac:dyDescent="0.2">
      <c r="A22" s="135" t="s">
        <v>250</v>
      </c>
      <c r="B22" s="368" t="s">
        <v>251</v>
      </c>
      <c r="C22" s="369"/>
      <c r="D22" s="369"/>
      <c r="E22" s="369"/>
      <c r="F22" s="369"/>
      <c r="G22" s="369"/>
      <c r="H22" s="370"/>
      <c r="I22" s="73">
        <f>SUMIF(FP!I:I,Doklady!$B$1&amp;A22,FP!D:D)</f>
        <v>0</v>
      </c>
      <c r="T22" s="86"/>
    </row>
    <row r="23" spans="1:20" x14ac:dyDescent="0.2">
      <c r="A23" s="115" t="s">
        <v>252</v>
      </c>
      <c r="B23" s="349" t="s">
        <v>253</v>
      </c>
      <c r="C23" s="350"/>
      <c r="D23" s="350"/>
      <c r="E23" s="350"/>
      <c r="F23" s="350"/>
      <c r="G23" s="350"/>
      <c r="H23" s="351"/>
      <c r="I23" s="73">
        <f>SUMIF(FP!I:I,Doklady!$B$1&amp;A23,FP!D:D)</f>
        <v>0</v>
      </c>
      <c r="T23" s="86"/>
    </row>
    <row r="24" spans="1:20" x14ac:dyDescent="0.2">
      <c r="A24" s="135" t="s">
        <v>254</v>
      </c>
      <c r="B24" s="349" t="s">
        <v>255</v>
      </c>
      <c r="C24" s="350"/>
      <c r="D24" s="350"/>
      <c r="E24" s="350"/>
      <c r="F24" s="350"/>
      <c r="G24" s="350"/>
      <c r="H24" s="351"/>
      <c r="I24" s="73">
        <f>SUMIF(FP!I:I,Doklady!$B$1&amp;A24,FP!D:D)</f>
        <v>0</v>
      </c>
      <c r="T24" s="86"/>
    </row>
    <row r="25" spans="1:20" x14ac:dyDescent="0.2">
      <c r="A25" s="115" t="s">
        <v>256</v>
      </c>
      <c r="B25" s="361" t="s">
        <v>1464</v>
      </c>
      <c r="C25" s="362"/>
      <c r="D25" s="362"/>
      <c r="E25" s="362"/>
      <c r="F25" s="362"/>
      <c r="G25" s="362"/>
      <c r="H25" s="363"/>
      <c r="I25" s="73">
        <f>SUMIF(FP!I:I,Doklady!$B$1&amp;A25,FP!D:D)</f>
        <v>0</v>
      </c>
      <c r="T25" s="86"/>
    </row>
    <row r="26" spans="1:20" x14ac:dyDescent="0.2">
      <c r="A26" s="135" t="s">
        <v>257</v>
      </c>
      <c r="B26" s="349" t="s">
        <v>258</v>
      </c>
      <c r="C26" s="350"/>
      <c r="D26" s="350"/>
      <c r="E26" s="350"/>
      <c r="F26" s="350"/>
      <c r="G26" s="350"/>
      <c r="H26" s="351"/>
      <c r="I26" s="73">
        <f>SUMIF(FP!I:I,Doklady!$B$1&amp;A26,FP!D:D)</f>
        <v>0</v>
      </c>
      <c r="T26" s="86"/>
    </row>
    <row r="27" spans="1:20" x14ac:dyDescent="0.2">
      <c r="A27" s="115" t="s">
        <v>259</v>
      </c>
      <c r="B27" s="349" t="s">
        <v>260</v>
      </c>
      <c r="C27" s="350"/>
      <c r="D27" s="350"/>
      <c r="E27" s="350"/>
      <c r="F27" s="350"/>
      <c r="G27" s="350"/>
      <c r="H27" s="351"/>
      <c r="I27" s="73">
        <f>SUMIF(FP!I:I,Doklady!$B$1&amp;A27,FP!D:D)</f>
        <v>0</v>
      </c>
      <c r="T27" s="86"/>
    </row>
    <row r="28" spans="1:20" x14ac:dyDescent="0.2">
      <c r="A28" s="135" t="s">
        <v>261</v>
      </c>
      <c r="B28" s="349" t="s">
        <v>1476</v>
      </c>
      <c r="C28" s="350"/>
      <c r="D28" s="350"/>
      <c r="E28" s="350"/>
      <c r="F28" s="350"/>
      <c r="G28" s="350"/>
      <c r="H28" s="351"/>
      <c r="I28" s="73">
        <f>SUMIF(FP!I:I,Doklady!$B$1&amp;A28,FP!D:D)</f>
        <v>0</v>
      </c>
      <c r="T28" s="86"/>
    </row>
    <row r="29" spans="1:20" x14ac:dyDescent="0.2">
      <c r="A29" s="115" t="s">
        <v>263</v>
      </c>
      <c r="B29" s="349" t="s">
        <v>264</v>
      </c>
      <c r="C29" s="350"/>
      <c r="D29" s="350"/>
      <c r="E29" s="350"/>
      <c r="F29" s="350"/>
      <c r="G29" s="350"/>
      <c r="H29" s="351"/>
      <c r="I29" s="73">
        <f>SUMIF(FP!I:I,Doklady!$B$1&amp;A29,FP!D:D)</f>
        <v>0</v>
      </c>
      <c r="T29" s="86"/>
    </row>
    <row r="30" spans="1:20" hidden="1" x14ac:dyDescent="0.2">
      <c r="A30" s="135" t="s">
        <v>265</v>
      </c>
      <c r="B30" s="349"/>
      <c r="C30" s="350"/>
      <c r="D30" s="350"/>
      <c r="E30" s="350"/>
      <c r="F30" s="350"/>
      <c r="G30" s="350"/>
      <c r="H30" s="351"/>
      <c r="I30" s="73">
        <f>SUMIF(FP!I:I,Doklady!$B$1&amp;A30,FP!D:D)</f>
        <v>0</v>
      </c>
      <c r="T30" s="86"/>
    </row>
    <row r="31" spans="1:20" hidden="1" x14ac:dyDescent="0.2">
      <c r="A31" s="115" t="s">
        <v>266</v>
      </c>
      <c r="B31" s="349"/>
      <c r="C31" s="350"/>
      <c r="D31" s="350"/>
      <c r="E31" s="350"/>
      <c r="F31" s="350"/>
      <c r="G31" s="350"/>
      <c r="H31" s="351"/>
      <c r="I31" s="73">
        <f>SUMIF(FP!I:I,Doklady!$B$1&amp;A31,FP!D:D)</f>
        <v>0</v>
      </c>
      <c r="T31" s="86"/>
    </row>
    <row r="32" spans="1:20" hidden="1" x14ac:dyDescent="0.2">
      <c r="A32" s="135" t="s">
        <v>267</v>
      </c>
      <c r="B32" s="371"/>
      <c r="C32" s="372"/>
      <c r="D32" s="372"/>
      <c r="E32" s="372"/>
      <c r="F32" s="372"/>
      <c r="G32" s="372"/>
      <c r="H32" s="373"/>
      <c r="I32" s="73">
        <f>SUMIF(FP!I:I,Doklady!$B$1&amp;A32,FP!D:D)</f>
        <v>0</v>
      </c>
      <c r="T32" s="86"/>
    </row>
    <row r="33" spans="1:21" hidden="1" x14ac:dyDescent="0.2">
      <c r="A33" s="115" t="s">
        <v>268</v>
      </c>
      <c r="B33" s="371"/>
      <c r="C33" s="372"/>
      <c r="D33" s="372"/>
      <c r="E33" s="372"/>
      <c r="F33" s="372"/>
      <c r="G33" s="372"/>
      <c r="H33" s="373"/>
      <c r="I33" s="73">
        <f>SUMIF(FP!I:I,Doklady!$B$1&amp;A33,FP!D:D)</f>
        <v>0</v>
      </c>
      <c r="T33" s="86"/>
    </row>
    <row r="34" spans="1:21" hidden="1" x14ac:dyDescent="0.2">
      <c r="A34" s="135" t="s">
        <v>269</v>
      </c>
      <c r="B34" s="374"/>
      <c r="C34" s="374"/>
      <c r="D34" s="374"/>
      <c r="E34" s="374"/>
      <c r="F34" s="374"/>
      <c r="G34" s="374"/>
      <c r="H34" s="374"/>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rýchlokorčuľovanie</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15118.800000000001</v>
      </c>
      <c r="D39" s="78">
        <f>I39*0.2</f>
        <v>15118.800000000001</v>
      </c>
      <c r="E39" s="78">
        <f>I39*0.25</f>
        <v>18898.5</v>
      </c>
      <c r="F39" s="78">
        <f>+I39*0.15</f>
        <v>11339.1</v>
      </c>
      <c r="G39" s="78">
        <f>+MAX(I39-C39-D39-E39-F39-H39,0)</f>
        <v>15118.799999999994</v>
      </c>
      <c r="H39" s="78">
        <f>+IFERROR(VLOOKUP(K40&amp;" - kapitálové transfery",B$53:C$90,2,0),0)</f>
        <v>0</v>
      </c>
      <c r="I39" s="73">
        <f>SUMIF(FP!K:K,K40,FP!D:D)</f>
        <v>75594</v>
      </c>
      <c r="L39" s="84">
        <f>COUNTIF(FP!N:N,Doklady!B1&amp;"aK")</f>
        <v>0</v>
      </c>
      <c r="T39" s="86"/>
    </row>
    <row r="40" spans="1:21" x14ac:dyDescent="0.2">
      <c r="A40" s="115" t="s">
        <v>240</v>
      </c>
      <c r="B40" s="116" t="s">
        <v>274</v>
      </c>
      <c r="C40" s="78">
        <f>DSUM(Doklady!A103:J10000,"GGG",Spolu!L40:M42)</f>
        <v>2578.08</v>
      </c>
      <c r="D40" s="78">
        <f>DSUM(Doklady!A103:J10000,"GGG",Spolu!N40:O42)</f>
        <v>0</v>
      </c>
      <c r="E40" s="78">
        <f>DSUM(Doklady!A103:J10000,"GGG",Spolu!P40:Q42)</f>
        <v>10278.68</v>
      </c>
      <c r="F40" s="78">
        <f>DSUM(Doklady!A103:J10000,"GGG",Spolu!R40:S42)</f>
        <v>3444.25</v>
      </c>
      <c r="G40" s="78">
        <f>DSUM(Doklady!A103:J10000,"GGG",Spolu!T40:U42)-H40</f>
        <v>7434.88</v>
      </c>
      <c r="H40" s="78">
        <f>+IFERROR(VLOOKUP(K40&amp;" - kapitálové transfery",B$53:D$90,3,0),0)</f>
        <v>0</v>
      </c>
      <c r="I40" s="73">
        <f>+C40+D40+E40+F40+G40+H40</f>
        <v>23735.89</v>
      </c>
      <c r="J40" s="210" t="str">
        <f>+K45</f>
        <v>.</v>
      </c>
      <c r="K40" s="210" t="str">
        <f>IF(L38&gt;0,INDEX(FP!K:K,Doklady!B2),".")</f>
        <v>rýchlokorčuľovanie</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12540.720000000001</v>
      </c>
      <c r="D41" s="78">
        <f>MAX(D39-D40,0)</f>
        <v>15118.800000000001</v>
      </c>
      <c r="E41" s="78">
        <f>MAX(E39-E40,0)</f>
        <v>8619.82</v>
      </c>
      <c r="F41" s="78">
        <f>MIN(I39,MAX(-F39+F40,0))</f>
        <v>0</v>
      </c>
      <c r="G41" s="78">
        <f>MIN(J39,MAX(-G39+G40+MIN(F40-F39,0),0))</f>
        <v>0</v>
      </c>
      <c r="H41" s="78">
        <f>MAX(H39-H40,0)</f>
        <v>0</v>
      </c>
      <c r="I41" s="124">
        <f>+I39-I42</f>
        <v>51858.11</v>
      </c>
      <c r="J41" s="211">
        <f>+K46</f>
        <v>0</v>
      </c>
      <c r="K41" s="211">
        <f>+I41-H41</f>
        <v>51858.11</v>
      </c>
      <c r="L41" s="153" t="str">
        <f>IF(L38&gt;0,"a - "&amp;INDEX(FP!C:C,Doklady!B2),2)</f>
        <v>a - rýchlokorčuľovanie - bežné transfery</v>
      </c>
      <c r="M41" s="120">
        <v>1</v>
      </c>
      <c r="N41" s="153" t="str">
        <f>+L41</f>
        <v>a - rýchlokorčuľovanie - bežné transfery</v>
      </c>
      <c r="O41" s="120">
        <v>2</v>
      </c>
      <c r="P41" s="153" t="str">
        <f>+L41</f>
        <v>a - rýchlokorčuľovanie - bežné transfery</v>
      </c>
      <c r="Q41" s="120">
        <v>3</v>
      </c>
      <c r="R41" s="153" t="str">
        <f>+L41</f>
        <v>a - rýchlokorčuľovanie - bežné transfery</v>
      </c>
      <c r="S41" s="120">
        <v>4</v>
      </c>
      <c r="T41" s="153" t="str">
        <f>+L41</f>
        <v>a - rýchlokorčuľovanie - bežné transfery</v>
      </c>
      <c r="U41" s="120">
        <v>5</v>
      </c>
    </row>
    <row r="42" spans="1:21" ht="10.5" customHeight="1" x14ac:dyDescent="0.2">
      <c r="A42" s="115" t="s">
        <v>240</v>
      </c>
      <c r="B42" s="116" t="s">
        <v>277</v>
      </c>
      <c r="C42" s="73">
        <f>+C40</f>
        <v>2578.08</v>
      </c>
      <c r="D42" s="208">
        <f>+D40</f>
        <v>0</v>
      </c>
      <c r="E42" s="208">
        <f>+E40</f>
        <v>10278.68</v>
      </c>
      <c r="F42" s="208">
        <f>+MIN(F39:F40)</f>
        <v>3444.25</v>
      </c>
      <c r="G42" s="208">
        <f>+MIN(G39+MAX(F39-F40,0)-MAX(E40-E39,0)-MAX(D40-D39,0)-MAX(C40-C39,0),G40)</f>
        <v>7434.88</v>
      </c>
      <c r="H42" s="208">
        <f>+MIN(H39:H40)</f>
        <v>0</v>
      </c>
      <c r="I42" s="73">
        <f>+C42+D42+E42+MIN(F39:F40)+G42+H42</f>
        <v>23735.89</v>
      </c>
      <c r="J42" s="211">
        <f>+K47</f>
        <v>0</v>
      </c>
      <c r="K42" s="211">
        <f>+I42-H42</f>
        <v>23735.89</v>
      </c>
      <c r="L42" s="153" t="str">
        <f>+SUBSTITUTE(L41,"bežné","kapitálové")</f>
        <v>a - rýchlokorčuľovanie - kapitálové transfery</v>
      </c>
      <c r="M42" s="120">
        <v>1</v>
      </c>
      <c r="N42" s="153" t="str">
        <f>+L42</f>
        <v>a - rýchlokorčuľovanie - kapitálové transfery</v>
      </c>
      <c r="O42" s="120">
        <v>2</v>
      </c>
      <c r="P42" s="153" t="str">
        <f>+L42</f>
        <v>a - rýchlokorčuľovanie - kapitálové transfery</v>
      </c>
      <c r="Q42" s="120">
        <v>3</v>
      </c>
      <c r="R42" s="153" t="str">
        <f>+L42</f>
        <v>a - rýchlokorčuľovanie - kapitálové transfery</v>
      </c>
      <c r="S42" s="120">
        <v>4</v>
      </c>
      <c r="T42" s="153" t="str">
        <f>+L42</f>
        <v>a - rýchlokorčuľovanie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7"/>
      <c r="B50" s="348"/>
      <c r="C50" s="348"/>
      <c r="D50" s="348"/>
      <c r="E50" s="348"/>
      <c r="F50" s="348"/>
      <c r="G50" s="348"/>
      <c r="H50" s="348"/>
      <c r="I50" s="348"/>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rýchlokorčuľovanie - bežné transfery</v>
      </c>
      <c r="C53" s="73">
        <f>IF(A53&lt;&gt;"",INDEX(FP!D:D,Doklady!B$2+(ROW()-53)),"")</f>
        <v>75594</v>
      </c>
      <c r="D53" s="73">
        <f>IF(A53&lt;&gt;"",Doklady!I1-Doklady!J1,"")</f>
        <v>23735.89000000001</v>
      </c>
      <c r="E53" s="73">
        <f>IF(A53&lt;&gt;"",MIN(D53,C53)*Doklady!C1/(1-Doklady!C1),"")</f>
        <v>0</v>
      </c>
      <c r="F53" s="71">
        <f>IF(A53&lt;&gt;"",Doklady!J1,"")</f>
        <v>0</v>
      </c>
      <c r="G53" s="73">
        <f>+IFERROR(HLOOKUP(IF(RIGHT(B53,15)="bežné transfery",LEFT(B53,LEN(B53)-18),0),$J$40:$K$42,3,0),MIN(C53,D53))</f>
        <v>23735.89</v>
      </c>
      <c r="H53" s="71"/>
      <c r="I53" s="73">
        <f>IF(A53&lt;&gt;"",MAX(IF(G53&lt;C53,C53-G53,0)+IF(F53&lt;E53,E53-F53,0),0),0)</f>
        <v>51858.11</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Popovičová Lea</v>
      </c>
      <c r="C54" s="73">
        <f>IF(A54&lt;&gt;"",INDEX(FP!D:D,Doklady!B$2+(ROW()-53)),"")</f>
        <v>8000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8000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d</v>
      </c>
      <c r="B55" s="119" t="str">
        <f>Doklady!H3</f>
        <v>Steklý Lukáš</v>
      </c>
      <c r="C55" s="73">
        <f>IF(A55&lt;&gt;"",INDEX(FP!D:D,Doklady!B$2+(ROW()-53)),"")</f>
        <v>8000</v>
      </c>
      <c r="D55" s="73">
        <f>IF(A55&lt;&gt;"",Doklady!I3-Doklady!J3,"")</f>
        <v>0</v>
      </c>
      <c r="E55" s="73">
        <f>IF(A55&lt;&gt;"",MIN(D55,C55)*Doklady!C3/(1-Doklady!C3),"")</f>
        <v>0</v>
      </c>
      <c r="F55" s="71">
        <f>IF(A55&lt;&gt;"",Doklady!J3,"")</f>
        <v>0</v>
      </c>
      <c r="G55" s="73">
        <f t="shared" si="0"/>
        <v>0</v>
      </c>
      <c r="H55" s="71"/>
      <c r="I55" s="73">
        <f t="shared" si="1"/>
        <v>8000</v>
      </c>
      <c r="J55" s="84" t="str">
        <f t="shared" si="2"/>
        <v/>
      </c>
      <c r="K55" s="84" t="str">
        <f>Doklady!F3</f>
        <v>026 03</v>
      </c>
      <c r="L55" s="84" t="str">
        <f>IF(A55&lt;&gt;"",INDEX(FP!H:H,Doklady!B$2+(ROW()-52)),"")</f>
        <v>B</v>
      </c>
      <c r="M55" s="84" t="str">
        <f t="shared" si="3"/>
        <v>026 03B</v>
      </c>
    </row>
    <row r="56" spans="1:20" x14ac:dyDescent="0.2">
      <c r="A56" s="75" t="str">
        <f>Doklady!D4</f>
        <v>d</v>
      </c>
      <c r="B56" s="119" t="str">
        <f>Doklady!H4</f>
        <v>Tokárová Tamara</v>
      </c>
      <c r="C56" s="73">
        <f>IF(A56&lt;&gt;"",INDEX(FP!D:D,Doklady!B$2+(ROW()-53)),"")</f>
        <v>8000</v>
      </c>
      <c r="D56" s="73">
        <f>IF(A56&lt;&gt;"",Doklady!I4-Doklady!J4,"")</f>
        <v>0</v>
      </c>
      <c r="E56" s="73">
        <f>IF(A56&lt;&gt;"",MIN(D56,C56)*Doklady!C4/(1-Doklady!C4),"")</f>
        <v>0</v>
      </c>
      <c r="F56" s="71">
        <f>IF(A56&lt;&gt;"",Doklady!J4,"")</f>
        <v>0</v>
      </c>
      <c r="G56" s="73">
        <f t="shared" si="0"/>
        <v>0</v>
      </c>
      <c r="H56" s="71"/>
      <c r="I56" s="73">
        <f t="shared" si="1"/>
        <v>8000</v>
      </c>
      <c r="J56" s="84" t="str">
        <f t="shared" si="2"/>
        <v/>
      </c>
      <c r="K56" s="84" t="str">
        <f>Doklady!F4</f>
        <v>026 03</v>
      </c>
      <c r="L56" s="84" t="str">
        <f>IF(A56&lt;&gt;"",INDEX(FP!H:H,Doklady!B$2+(ROW()-52)),"")</f>
        <v>B</v>
      </c>
      <c r="M56" s="84" t="str">
        <f t="shared" si="3"/>
        <v>026 03B</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99594</v>
      </c>
      <c r="D130" s="220">
        <f t="shared" ref="D130:I130" si="9">SUM(D53:D129)</f>
        <v>23735.89000000001</v>
      </c>
      <c r="E130" s="220">
        <f t="shared" si="9"/>
        <v>0</v>
      </c>
      <c r="F130" s="220">
        <f t="shared" si="9"/>
        <v>0</v>
      </c>
      <c r="G130" s="220">
        <f t="shared" si="9"/>
        <v>23735.89</v>
      </c>
      <c r="H130" s="220">
        <f t="shared" si="9"/>
        <v>0</v>
      </c>
      <c r="I130" s="220">
        <f t="shared" si="9"/>
        <v>75858.11</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64"/>
      <c r="E140" s="364"/>
      <c r="F140" s="364"/>
      <c r="G140" s="364"/>
      <c r="H140" s="364"/>
      <c r="I140" s="364"/>
      <c r="J140" s="85"/>
    </row>
    <row r="141" spans="1:26" ht="68.25" customHeight="1" x14ac:dyDescent="0.2">
      <c r="A141" s="9"/>
      <c r="B141" s="273" t="s">
        <v>293</v>
      </c>
      <c r="C141" s="206"/>
      <c r="D141" s="344" t="s">
        <v>294</v>
      </c>
      <c r="E141" s="344"/>
      <c r="F141" s="344"/>
      <c r="G141" s="344"/>
      <c r="H141" s="344"/>
      <c r="I141" s="344"/>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51" zoomScaleNormal="100" workbookViewId="0">
      <selection activeCell="F179" sqref="F179"/>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rýchlokorčuľovanie - bežné transfery</v>
      </c>
      <c r="B1" s="224" t="str">
        <f>INDEX(Adr!A:A,B102+1)</f>
        <v>30688060</v>
      </c>
      <c r="C1" s="225">
        <f>IF(ROW()&lt;=B$3,INDEX(FP!E:E,B$2+ROW()-1),"")</f>
        <v>0</v>
      </c>
      <c r="D1" s="226" t="str">
        <f>IF(ROW()&lt;=B$3,INDEX(FP!F:F,B$2+ROW()-1),"")</f>
        <v>a</v>
      </c>
      <c r="E1" s="226"/>
      <c r="F1" s="226" t="str">
        <f>IF(ROW()&lt;=B$3,INDEX(FP!G:G,B$2+ROW()-1),"")</f>
        <v>026 02</v>
      </c>
      <c r="G1" s="226"/>
      <c r="H1" s="227" t="str">
        <f>IF(ROW()&lt;=B$3,INDEX(FP!C:C,B$2+ROW()-1),"")</f>
        <v>rýchlokorčuľovanie - bežné transfery</v>
      </c>
      <c r="I1" s="228">
        <f t="shared" ref="I1:I6" si="0">IF(ROW()&lt;=B$3,SUMIF(A$107:A$10042,A1,I$107:I$10042),"")</f>
        <v>23735.89000000001</v>
      </c>
      <c r="J1" s="228">
        <f t="shared" ref="J1:J32" si="1">IF(ROW()&lt;=B$3,SUMIFS(I$103:I$50042,A$103:A$50042,K1,J$103:J$50042,L1),"")</f>
        <v>0</v>
      </c>
      <c r="K1" s="110" t="str">
        <f>$A1</f>
        <v>a - rýchlokorčuľovanie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d - Popovičová Lea</v>
      </c>
      <c r="B2" s="229">
        <f>MATCH(B1,FP!A:A,0)</f>
        <v>281</v>
      </c>
      <c r="C2" s="225">
        <f>IF(ROW()&lt;=B$3,INDEX(FP!E:E,B$2+ROW()-1),"")</f>
        <v>0</v>
      </c>
      <c r="D2" s="226" t="str">
        <f>IF(ROW()&lt;=B$3,INDEX(FP!F:F,B$2+ROW()-1),"")</f>
        <v>d</v>
      </c>
      <c r="E2" s="226"/>
      <c r="F2" s="226" t="str">
        <f>IF(ROW()&lt;=B$3,INDEX(FP!G:G,B$2+ROW()-1),"")</f>
        <v>026 03</v>
      </c>
      <c r="G2" s="226"/>
      <c r="H2" s="227" t="str">
        <f>IF(ROW()&lt;=B$3,INDEX(FP!C:C,B$2+ROW()-1),"")</f>
        <v>Popovičová Lea</v>
      </c>
      <c r="I2" s="228">
        <f t="shared" si="0"/>
        <v>0</v>
      </c>
      <c r="J2" s="228">
        <f t="shared" si="1"/>
        <v>0</v>
      </c>
      <c r="K2" s="110" t="str">
        <f>$A2</f>
        <v>d - Popovičová Lea</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d - Steklý Lukáš</v>
      </c>
      <c r="B3" s="230">
        <f>COUNTIF(FP!A:A,Doklady!B1)</f>
        <v>4</v>
      </c>
      <c r="C3" s="225">
        <f>IF(ROW()&lt;=B$3,INDEX(FP!E:E,B$2+ROW()-1),"")</f>
        <v>0</v>
      </c>
      <c r="D3" s="226" t="str">
        <f>IF(ROW()&lt;=B$3,INDEX(FP!F:F,B$2+ROW()-1),"")</f>
        <v>d</v>
      </c>
      <c r="E3" s="226"/>
      <c r="F3" s="226" t="str">
        <f>IF(ROW()&lt;=B$3,INDEX(FP!G:G,B$2+ROW()-1),"")</f>
        <v>026 03</v>
      </c>
      <c r="G3" s="226"/>
      <c r="H3" s="227" t="str">
        <f>IF(ROW()&lt;=B$3,INDEX(FP!C:C,B$2+ROW()-1),"")</f>
        <v>Steklý Lukáš</v>
      </c>
      <c r="I3" s="228">
        <f t="shared" si="0"/>
        <v>0</v>
      </c>
      <c r="J3" s="228">
        <f t="shared" si="1"/>
        <v>0</v>
      </c>
      <c r="K3" s="110" t="str">
        <f t="shared" ref="K3:K66" si="2">$A3</f>
        <v>d - Steklý Lukáš</v>
      </c>
      <c r="L3" s="101">
        <v>99</v>
      </c>
      <c r="M3" s="99" t="str">
        <f>$A2</f>
        <v>d - Popovičová Lea</v>
      </c>
      <c r="N3" s="100">
        <v>99</v>
      </c>
      <c r="O3" s="88"/>
      <c r="P3" s="88"/>
      <c r="Q3" s="88"/>
      <c r="R3" s="88"/>
      <c r="S3" s="88"/>
      <c r="T3" s="88"/>
      <c r="U3" s="88"/>
      <c r="V3" s="88"/>
      <c r="W3" s="88"/>
      <c r="X3" s="88"/>
      <c r="Y3" s="88"/>
    </row>
    <row r="4" spans="1:25" s="6" customFormat="1" ht="12" hidden="1" thickBot="1" x14ac:dyDescent="0.25">
      <c r="A4" s="227" t="str">
        <f>IF(ROW()&lt;=B$3,INDEX(FP!F:F,B$2+ROW()-1)&amp;" - "&amp;INDEX(FP!C:C,B$2+ROW()-1),"")</f>
        <v>d - Tokárová Tamara</v>
      </c>
      <c r="B4" s="231"/>
      <c r="C4" s="232">
        <f>IF(ROW()&lt;=B$3,INDEX(FP!E:E,B$2+ROW()-1),"")</f>
        <v>0</v>
      </c>
      <c r="D4" s="226" t="str">
        <f>IF(ROW()&lt;=B$3,INDEX(FP!F:F,B$2+ROW()-1),"")</f>
        <v>d</v>
      </c>
      <c r="E4" s="226"/>
      <c r="F4" s="226" t="str">
        <f>IF(ROW()&lt;=B$3,INDEX(FP!G:G,B$2+ROW()-1),"")</f>
        <v>026 03</v>
      </c>
      <c r="G4" s="226"/>
      <c r="H4" s="227" t="str">
        <f>IF(ROW()&lt;=B$3,INDEX(FP!C:C,B$2+ROW()-1),"")</f>
        <v>Tokárová Tamara</v>
      </c>
      <c r="I4" s="228">
        <f t="shared" si="0"/>
        <v>0</v>
      </c>
      <c r="J4" s="228">
        <f t="shared" si="1"/>
        <v>0</v>
      </c>
      <c r="K4" s="110" t="str">
        <f t="shared" si="2"/>
        <v>d - Tokárová Tamara</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d - Tokárová Tamara</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22" t="s">
        <v>1479</v>
      </c>
      <c r="B100" s="322"/>
      <c r="C100" s="322"/>
      <c r="D100" s="322"/>
      <c r="E100" s="322"/>
      <c r="F100" s="322"/>
      <c r="G100" s="322"/>
      <c r="H100" s="322"/>
      <c r="I100" s="324" t="s">
        <v>1480</v>
      </c>
      <c r="J100" s="324"/>
      <c r="K100" s="89"/>
    </row>
    <row r="101" spans="1:25" ht="15.75" x14ac:dyDescent="0.25">
      <c r="A101" s="322"/>
      <c r="B101" s="322"/>
      <c r="C101" s="322"/>
      <c r="D101" s="322"/>
      <c r="E101" s="322"/>
      <c r="F101" s="322"/>
      <c r="G101" s="322"/>
      <c r="H101" s="322"/>
      <c r="I101" s="323">
        <v>46053</v>
      </c>
      <c r="J101" s="323"/>
    </row>
    <row r="102" spans="1:25" ht="14.25" x14ac:dyDescent="0.2">
      <c r="A102" s="241" t="s">
        <v>299</v>
      </c>
      <c r="B102" s="242">
        <v>103</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25" t="s">
        <v>308</v>
      </c>
      <c r="B105" s="326"/>
      <c r="C105" s="326"/>
      <c r="D105" s="326"/>
      <c r="E105" s="326"/>
      <c r="F105" s="326"/>
      <c r="G105" s="326"/>
      <c r="H105" s="326"/>
      <c r="I105" s="326"/>
      <c r="J105" s="327"/>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56.25" x14ac:dyDescent="0.2">
      <c r="A107" s="14" t="s">
        <v>2565</v>
      </c>
      <c r="B107" s="14"/>
      <c r="C107" s="14"/>
      <c r="D107" s="16"/>
      <c r="E107" s="16"/>
      <c r="F107" s="14" t="s">
        <v>2566</v>
      </c>
      <c r="G107" s="14"/>
      <c r="H107" s="14"/>
      <c r="I107" s="15"/>
      <c r="J107" s="77"/>
      <c r="K107" s="92"/>
    </row>
    <row r="108" spans="1:25" ht="12.75" x14ac:dyDescent="0.2">
      <c r="A108" s="14" t="s">
        <v>2565</v>
      </c>
      <c r="B108" s="14"/>
      <c r="C108" s="14"/>
      <c r="D108" s="16">
        <v>46048</v>
      </c>
      <c r="E108" s="16"/>
      <c r="F108" s="14" t="s">
        <v>2567</v>
      </c>
      <c r="G108" s="14" t="s">
        <v>2568</v>
      </c>
      <c r="H108" s="14" t="s">
        <v>2569</v>
      </c>
      <c r="I108" s="15">
        <v>224</v>
      </c>
      <c r="J108" s="77">
        <v>3</v>
      </c>
      <c r="K108" s="92"/>
    </row>
    <row r="109" spans="1:25" ht="12.75" x14ac:dyDescent="0.2">
      <c r="A109" s="14" t="s">
        <v>2565</v>
      </c>
      <c r="B109" s="14"/>
      <c r="C109" s="14"/>
      <c r="D109" s="16">
        <v>46069</v>
      </c>
      <c r="E109" s="16"/>
      <c r="F109" s="14" t="s">
        <v>2570</v>
      </c>
      <c r="G109" s="14" t="s">
        <v>2571</v>
      </c>
      <c r="H109" s="14" t="s">
        <v>2572</v>
      </c>
      <c r="I109" s="15">
        <v>700</v>
      </c>
      <c r="J109" s="77">
        <v>3</v>
      </c>
      <c r="K109" s="92"/>
    </row>
    <row r="110" spans="1:25" ht="22.5" x14ac:dyDescent="0.2">
      <c r="A110" s="14" t="s">
        <v>2565</v>
      </c>
      <c r="B110" s="14"/>
      <c r="C110" s="14"/>
      <c r="D110" s="16">
        <v>46069</v>
      </c>
      <c r="E110" s="16"/>
      <c r="F110" s="14" t="s">
        <v>2573</v>
      </c>
      <c r="G110" s="14"/>
      <c r="H110" s="14" t="s">
        <v>2574</v>
      </c>
      <c r="I110" s="15">
        <v>1179.8399999999999</v>
      </c>
      <c r="J110" s="77">
        <v>3</v>
      </c>
      <c r="K110" s="92"/>
    </row>
    <row r="111" spans="1:25" ht="56.25" x14ac:dyDescent="0.2">
      <c r="A111" s="14" t="s">
        <v>2565</v>
      </c>
      <c r="B111" s="14"/>
      <c r="C111" s="14"/>
      <c r="D111" s="16"/>
      <c r="E111" s="16"/>
      <c r="F111" s="14" t="s">
        <v>2575</v>
      </c>
      <c r="G111" s="14"/>
      <c r="H111" s="14"/>
      <c r="I111" s="15"/>
      <c r="J111" s="77"/>
      <c r="K111" s="92"/>
    </row>
    <row r="112" spans="1:25" ht="12.75" x14ac:dyDescent="0.2">
      <c r="A112" s="14" t="s">
        <v>2565</v>
      </c>
      <c r="B112" s="14"/>
      <c r="C112" s="14"/>
      <c r="D112" s="16">
        <v>46062</v>
      </c>
      <c r="E112" s="16"/>
      <c r="F112" s="14" t="s">
        <v>2567</v>
      </c>
      <c r="G112" s="14" t="s">
        <v>2568</v>
      </c>
      <c r="H112" s="14" t="s">
        <v>2569</v>
      </c>
      <c r="I112" s="15">
        <v>45</v>
      </c>
      <c r="J112" s="77">
        <v>3</v>
      </c>
      <c r="K112" s="92"/>
    </row>
    <row r="113" spans="1:11" ht="12.75" x14ac:dyDescent="0.2">
      <c r="A113" s="14" t="s">
        <v>2565</v>
      </c>
      <c r="B113" s="14"/>
      <c r="C113" s="14"/>
      <c r="D113" s="16">
        <v>46083</v>
      </c>
      <c r="E113" s="16"/>
      <c r="F113" s="14" t="s">
        <v>2576</v>
      </c>
      <c r="G113" s="14" t="s">
        <v>2571</v>
      </c>
      <c r="H113" s="14" t="s">
        <v>2572</v>
      </c>
      <c r="I113" s="15">
        <v>430</v>
      </c>
      <c r="J113" s="77">
        <v>3</v>
      </c>
      <c r="K113" s="92"/>
    </row>
    <row r="114" spans="1:11" ht="12.75" x14ac:dyDescent="0.2">
      <c r="A114" s="14" t="s">
        <v>2565</v>
      </c>
      <c r="B114" s="14"/>
      <c r="C114" s="14"/>
      <c r="D114" s="16">
        <v>46106</v>
      </c>
      <c r="E114" s="16"/>
      <c r="F114" s="14" t="s">
        <v>2576</v>
      </c>
      <c r="G114" s="14" t="s">
        <v>2577</v>
      </c>
      <c r="H114" s="14" t="s">
        <v>2578</v>
      </c>
      <c r="I114" s="15">
        <v>630</v>
      </c>
      <c r="J114" s="77">
        <v>3</v>
      </c>
      <c r="K114" s="92"/>
    </row>
    <row r="115" spans="1:11" ht="67.5" x14ac:dyDescent="0.2">
      <c r="A115" s="14" t="s">
        <v>2565</v>
      </c>
      <c r="B115" s="14"/>
      <c r="C115" s="14"/>
      <c r="D115" s="16"/>
      <c r="E115" s="16"/>
      <c r="F115" s="14" t="s">
        <v>2579</v>
      </c>
      <c r="G115" s="14"/>
      <c r="H115" s="14"/>
      <c r="I115" s="15"/>
      <c r="J115" s="77"/>
      <c r="K115" s="92"/>
    </row>
    <row r="116" spans="1:11" ht="12.75" x14ac:dyDescent="0.2">
      <c r="A116" s="14" t="s">
        <v>2565</v>
      </c>
      <c r="B116" s="14"/>
      <c r="C116" s="14"/>
      <c r="D116" s="16">
        <v>46061</v>
      </c>
      <c r="E116" s="16"/>
      <c r="F116" s="14" t="s">
        <v>2580</v>
      </c>
      <c r="G116" s="14">
        <v>46870733</v>
      </c>
      <c r="H116" s="14" t="s">
        <v>2581</v>
      </c>
      <c r="I116" s="15">
        <v>82.08</v>
      </c>
      <c r="J116" s="77">
        <v>5</v>
      </c>
      <c r="K116" s="92"/>
    </row>
    <row r="117" spans="1:11" ht="12.75" x14ac:dyDescent="0.2">
      <c r="A117" s="14" t="s">
        <v>2565</v>
      </c>
      <c r="B117" s="14"/>
      <c r="C117" s="14"/>
      <c r="D117" s="16">
        <v>46083</v>
      </c>
      <c r="E117" s="16"/>
      <c r="F117" s="14" t="s">
        <v>2582</v>
      </c>
      <c r="G117" s="14" t="s">
        <v>2583</v>
      </c>
      <c r="H117" s="14" t="s">
        <v>2584</v>
      </c>
      <c r="I117" s="15">
        <v>235.42</v>
      </c>
      <c r="J117" s="77">
        <v>5</v>
      </c>
      <c r="K117" s="92"/>
    </row>
    <row r="118" spans="1:11" ht="22.5" x14ac:dyDescent="0.2">
      <c r="A118" s="14" t="s">
        <v>2565</v>
      </c>
      <c r="B118" s="14"/>
      <c r="C118" s="14"/>
      <c r="D118" s="16">
        <v>46097</v>
      </c>
      <c r="E118" s="16"/>
      <c r="F118" s="14" t="s">
        <v>2585</v>
      </c>
      <c r="G118" s="14" t="s">
        <v>2586</v>
      </c>
      <c r="H118" s="14" t="s">
        <v>2587</v>
      </c>
      <c r="I118" s="15">
        <v>750</v>
      </c>
      <c r="J118" s="77">
        <v>5</v>
      </c>
      <c r="K118" s="92"/>
    </row>
    <row r="119" spans="1:11" ht="67.5" x14ac:dyDescent="0.2">
      <c r="A119" s="14" t="s">
        <v>2565</v>
      </c>
      <c r="B119" s="14"/>
      <c r="C119" s="14"/>
      <c r="D119" s="16"/>
      <c r="E119" s="16"/>
      <c r="F119" s="14" t="s">
        <v>2588</v>
      </c>
      <c r="G119" s="14"/>
      <c r="H119" s="14"/>
      <c r="I119" s="15"/>
      <c r="J119" s="77"/>
      <c r="K119" s="92"/>
    </row>
    <row r="120" spans="1:11" ht="12.75" x14ac:dyDescent="0.2">
      <c r="A120" s="14" t="s">
        <v>2565</v>
      </c>
      <c r="B120" s="14"/>
      <c r="C120" s="14"/>
      <c r="D120" s="16">
        <v>46061</v>
      </c>
      <c r="E120" s="16"/>
      <c r="F120" s="14" t="s">
        <v>2580</v>
      </c>
      <c r="G120" s="14">
        <v>46870733</v>
      </c>
      <c r="H120" s="14" t="s">
        <v>2581</v>
      </c>
      <c r="I120" s="15">
        <v>63.94</v>
      </c>
      <c r="J120" s="77">
        <v>5</v>
      </c>
      <c r="K120" s="92"/>
    </row>
    <row r="121" spans="1:11" ht="12.75" x14ac:dyDescent="0.2">
      <c r="A121" s="14" t="s">
        <v>2565</v>
      </c>
      <c r="B121" s="14"/>
      <c r="C121" s="14"/>
      <c r="D121" s="16">
        <v>46083</v>
      </c>
      <c r="E121" s="16"/>
      <c r="F121" s="14" t="s">
        <v>2589</v>
      </c>
      <c r="G121" s="14" t="s">
        <v>2590</v>
      </c>
      <c r="H121" s="14" t="s">
        <v>2591</v>
      </c>
      <c r="I121" s="15">
        <v>570</v>
      </c>
      <c r="J121" s="77">
        <v>5</v>
      </c>
      <c r="K121" s="92"/>
    </row>
    <row r="122" spans="1:11" ht="12.75" x14ac:dyDescent="0.2">
      <c r="A122" s="14" t="s">
        <v>2565</v>
      </c>
      <c r="B122" s="14"/>
      <c r="C122" s="14"/>
      <c r="D122" s="16">
        <v>46083</v>
      </c>
      <c r="E122" s="16"/>
      <c r="F122" s="14" t="s">
        <v>2592</v>
      </c>
      <c r="G122" s="14"/>
      <c r="H122" s="14" t="s">
        <v>2593</v>
      </c>
      <c r="I122" s="15">
        <v>185</v>
      </c>
      <c r="J122" s="77">
        <v>5</v>
      </c>
      <c r="K122" s="92"/>
    </row>
    <row r="123" spans="1:11" ht="12.75" x14ac:dyDescent="0.2">
      <c r="A123" s="14" t="s">
        <v>2565</v>
      </c>
      <c r="B123" s="14"/>
      <c r="C123" s="14"/>
      <c r="D123" s="16">
        <v>46083</v>
      </c>
      <c r="E123" s="16"/>
      <c r="F123" s="14" t="s">
        <v>2594</v>
      </c>
      <c r="G123" s="14"/>
      <c r="H123" s="14" t="s">
        <v>2593</v>
      </c>
      <c r="I123" s="15">
        <v>446.96</v>
      </c>
      <c r="J123" s="77">
        <v>5</v>
      </c>
      <c r="K123" s="92"/>
    </row>
    <row r="124" spans="1:11" ht="56.25" x14ac:dyDescent="0.2">
      <c r="A124" s="14" t="s">
        <v>2565</v>
      </c>
      <c r="B124" s="14"/>
      <c r="C124" s="14"/>
      <c r="D124" s="16">
        <v>46090</v>
      </c>
      <c r="E124" s="16"/>
      <c r="F124" s="14" t="s">
        <v>2595</v>
      </c>
      <c r="G124" s="14"/>
      <c r="H124" s="14"/>
      <c r="I124" s="15"/>
      <c r="J124" s="77"/>
      <c r="K124" s="92"/>
    </row>
    <row r="125" spans="1:11" ht="12.75" x14ac:dyDescent="0.2">
      <c r="A125" s="14" t="s">
        <v>2565</v>
      </c>
      <c r="B125" s="14"/>
      <c r="C125" s="14"/>
      <c r="D125" s="16">
        <v>46056</v>
      </c>
      <c r="E125" s="16"/>
      <c r="F125" s="14" t="s">
        <v>2596</v>
      </c>
      <c r="G125" s="14"/>
      <c r="H125" s="14" t="s">
        <v>2597</v>
      </c>
      <c r="I125" s="15">
        <v>3199.52</v>
      </c>
      <c r="J125" s="77">
        <v>3</v>
      </c>
      <c r="K125" s="92"/>
    </row>
    <row r="126" spans="1:11" ht="12.75" x14ac:dyDescent="0.2">
      <c r="A126" s="14" t="s">
        <v>2565</v>
      </c>
      <c r="B126" s="14"/>
      <c r="C126" s="14"/>
      <c r="D126" s="16">
        <v>46090</v>
      </c>
      <c r="E126" s="16"/>
      <c r="F126" s="14" t="s">
        <v>2567</v>
      </c>
      <c r="G126" s="14" t="s">
        <v>2568</v>
      </c>
      <c r="H126" s="14" t="s">
        <v>2569</v>
      </c>
      <c r="I126" s="15">
        <v>205</v>
      </c>
      <c r="J126" s="77">
        <v>3</v>
      </c>
      <c r="K126" s="92"/>
    </row>
    <row r="127" spans="1:11" ht="12.75" x14ac:dyDescent="0.2">
      <c r="A127" s="14" t="s">
        <v>2565</v>
      </c>
      <c r="B127" s="14"/>
      <c r="C127" s="14"/>
      <c r="D127" s="16">
        <v>46097</v>
      </c>
      <c r="E127" s="16"/>
      <c r="F127" s="14" t="s">
        <v>2598</v>
      </c>
      <c r="G127" s="14"/>
      <c r="H127" s="14" t="s">
        <v>2599</v>
      </c>
      <c r="I127" s="15">
        <v>114.91</v>
      </c>
      <c r="J127" s="77">
        <v>3</v>
      </c>
      <c r="K127" s="92"/>
    </row>
    <row r="128" spans="1:11" ht="12.75" x14ac:dyDescent="0.2">
      <c r="A128" s="14" t="s">
        <v>2565</v>
      </c>
      <c r="B128" s="14"/>
      <c r="C128" s="14"/>
      <c r="D128" s="16">
        <v>46099</v>
      </c>
      <c r="E128" s="16"/>
      <c r="F128" s="14" t="s">
        <v>2600</v>
      </c>
      <c r="G128" s="14"/>
      <c r="H128" s="14" t="s">
        <v>2601</v>
      </c>
      <c r="I128" s="15">
        <v>580.32000000000005</v>
      </c>
      <c r="J128" s="77">
        <v>3</v>
      </c>
      <c r="K128" s="92"/>
    </row>
    <row r="129" spans="1:11" ht="12.75" x14ac:dyDescent="0.2">
      <c r="A129" s="14" t="s">
        <v>2565</v>
      </c>
      <c r="B129" s="14"/>
      <c r="C129" s="14"/>
      <c r="D129" s="16">
        <v>46100</v>
      </c>
      <c r="E129" s="16"/>
      <c r="F129" s="14" t="s">
        <v>2602</v>
      </c>
      <c r="G129" s="14"/>
      <c r="H129" s="14" t="s">
        <v>2601</v>
      </c>
      <c r="I129" s="15">
        <v>1296.2</v>
      </c>
      <c r="J129" s="77">
        <v>3</v>
      </c>
      <c r="K129" s="92"/>
    </row>
    <row r="130" spans="1:11" ht="12.75" x14ac:dyDescent="0.2">
      <c r="A130" s="14" t="s">
        <v>2565</v>
      </c>
      <c r="B130" s="14"/>
      <c r="C130" s="14"/>
      <c r="D130" s="16">
        <v>46106</v>
      </c>
      <c r="E130" s="16"/>
      <c r="F130" s="14" t="s">
        <v>2603</v>
      </c>
      <c r="G130" s="14" t="s">
        <v>2577</v>
      </c>
      <c r="H130" s="14" t="s">
        <v>2578</v>
      </c>
      <c r="I130" s="15">
        <v>630</v>
      </c>
      <c r="J130" s="77">
        <v>3</v>
      </c>
      <c r="K130" s="92"/>
    </row>
    <row r="131" spans="1:11" ht="67.5" x14ac:dyDescent="0.2">
      <c r="A131" s="14" t="s">
        <v>2565</v>
      </c>
      <c r="B131" s="14"/>
      <c r="C131" s="14"/>
      <c r="D131" s="16"/>
      <c r="E131" s="16"/>
      <c r="F131" s="14" t="s">
        <v>2604</v>
      </c>
      <c r="G131" s="14"/>
      <c r="H131" s="14"/>
      <c r="I131" s="15"/>
      <c r="J131" s="77"/>
      <c r="K131" s="92"/>
    </row>
    <row r="132" spans="1:11" ht="12.75" x14ac:dyDescent="0.2">
      <c r="A132" s="14" t="s">
        <v>2565</v>
      </c>
      <c r="B132" s="14"/>
      <c r="C132" s="14"/>
      <c r="D132" s="16">
        <v>46086</v>
      </c>
      <c r="E132" s="16"/>
      <c r="F132" s="14" t="s">
        <v>2605</v>
      </c>
      <c r="G132" s="14"/>
      <c r="H132" s="14" t="s">
        <v>2606</v>
      </c>
      <c r="I132" s="15">
        <v>33.04</v>
      </c>
      <c r="J132" s="77">
        <v>5</v>
      </c>
      <c r="K132" s="92"/>
    </row>
    <row r="133" spans="1:11" ht="12.75" x14ac:dyDescent="0.2">
      <c r="A133" s="14" t="s">
        <v>2565</v>
      </c>
      <c r="B133" s="14"/>
      <c r="C133" s="14"/>
      <c r="D133" s="16">
        <v>46091</v>
      </c>
      <c r="E133" s="16"/>
      <c r="F133" s="14" t="s">
        <v>2607</v>
      </c>
      <c r="G133" s="14"/>
      <c r="H133" s="14" t="s">
        <v>2608</v>
      </c>
      <c r="I133" s="15">
        <v>217.5</v>
      </c>
      <c r="J133" s="77">
        <v>5</v>
      </c>
      <c r="K133" s="92"/>
    </row>
    <row r="134" spans="1:11" ht="12.75" x14ac:dyDescent="0.2">
      <c r="A134" s="14" t="s">
        <v>2565</v>
      </c>
      <c r="B134" s="14"/>
      <c r="C134" s="14"/>
      <c r="D134" s="16">
        <v>46091</v>
      </c>
      <c r="E134" s="16"/>
      <c r="F134" s="14" t="s">
        <v>2609</v>
      </c>
      <c r="G134" s="14" t="s">
        <v>2610</v>
      </c>
      <c r="H134" s="14" t="s">
        <v>2611</v>
      </c>
      <c r="I134" s="15">
        <v>104.33</v>
      </c>
      <c r="J134" s="77">
        <v>5</v>
      </c>
      <c r="K134" s="92"/>
    </row>
    <row r="135" spans="1:11" ht="12.75" x14ac:dyDescent="0.2">
      <c r="A135" s="14" t="s">
        <v>2565</v>
      </c>
      <c r="B135" s="14"/>
      <c r="C135" s="14"/>
      <c r="D135" s="16">
        <v>46099</v>
      </c>
      <c r="E135" s="16"/>
      <c r="F135" s="14" t="s">
        <v>2603</v>
      </c>
      <c r="G135" s="14" t="s">
        <v>2577</v>
      </c>
      <c r="H135" s="14" t="s">
        <v>2578</v>
      </c>
      <c r="I135" s="15">
        <v>210</v>
      </c>
      <c r="J135" s="77">
        <v>5</v>
      </c>
      <c r="K135" s="92"/>
    </row>
    <row r="136" spans="1:11" ht="67.5" x14ac:dyDescent="0.2">
      <c r="A136" s="14" t="s">
        <v>2565</v>
      </c>
      <c r="B136" s="14"/>
      <c r="C136" s="14"/>
      <c r="D136" s="16"/>
      <c r="E136" s="16"/>
      <c r="F136" s="14" t="s">
        <v>2612</v>
      </c>
      <c r="G136" s="14"/>
      <c r="H136" s="14"/>
      <c r="I136" s="15"/>
      <c r="J136" s="77"/>
      <c r="K136" s="92"/>
    </row>
    <row r="137" spans="1:11" ht="22.5" x14ac:dyDescent="0.2">
      <c r="A137" s="14" t="s">
        <v>2565</v>
      </c>
      <c r="B137" s="14"/>
      <c r="C137" s="14"/>
      <c r="D137" s="16">
        <v>46097</v>
      </c>
      <c r="E137" s="16"/>
      <c r="F137" s="14" t="s">
        <v>2585</v>
      </c>
      <c r="G137" s="14" t="s">
        <v>2586</v>
      </c>
      <c r="H137" s="14" t="s">
        <v>2587</v>
      </c>
      <c r="I137" s="15">
        <v>750</v>
      </c>
      <c r="J137" s="77">
        <v>5</v>
      </c>
      <c r="K137" s="92"/>
    </row>
    <row r="138" spans="1:11" ht="12.75" x14ac:dyDescent="0.2">
      <c r="A138" s="14" t="s">
        <v>2565</v>
      </c>
      <c r="B138" s="14"/>
      <c r="C138" s="14"/>
      <c r="D138" s="16">
        <v>46098</v>
      </c>
      <c r="E138" s="16"/>
      <c r="F138" s="14" t="s">
        <v>2589</v>
      </c>
      <c r="G138" s="14" t="s">
        <v>2590</v>
      </c>
      <c r="H138" s="14" t="s">
        <v>2591</v>
      </c>
      <c r="I138" s="15">
        <v>550</v>
      </c>
      <c r="J138" s="77">
        <v>5</v>
      </c>
      <c r="K138" s="92"/>
    </row>
    <row r="139" spans="1:11" ht="12.75" x14ac:dyDescent="0.2">
      <c r="A139" s="14" t="s">
        <v>2565</v>
      </c>
      <c r="B139" s="14"/>
      <c r="C139" s="14"/>
      <c r="D139" s="16">
        <v>46098</v>
      </c>
      <c r="E139" s="16"/>
      <c r="F139" s="14" t="s">
        <v>2580</v>
      </c>
      <c r="G139" s="14">
        <v>46870733</v>
      </c>
      <c r="H139" s="14" t="s">
        <v>2581</v>
      </c>
      <c r="I139" s="15">
        <v>322.94</v>
      </c>
      <c r="J139" s="77">
        <v>5</v>
      </c>
      <c r="K139" s="92"/>
    </row>
    <row r="140" spans="1:11" ht="78.75" x14ac:dyDescent="0.2">
      <c r="A140" s="14" t="s">
        <v>2565</v>
      </c>
      <c r="B140" s="14"/>
      <c r="C140" s="14"/>
      <c r="D140" s="16">
        <v>46106</v>
      </c>
      <c r="E140" s="16"/>
      <c r="F140" s="14" t="s">
        <v>2613</v>
      </c>
      <c r="G140" s="14"/>
      <c r="H140" s="14" t="s">
        <v>2614</v>
      </c>
      <c r="I140" s="15">
        <f>46.82+33.3+33.3+34.9+34.9+40.5+40.5+42.9+37.3</f>
        <v>344.42</v>
      </c>
      <c r="J140" s="77">
        <v>5</v>
      </c>
      <c r="K140" s="92"/>
    </row>
    <row r="141" spans="1:11" ht="67.5" x14ac:dyDescent="0.2">
      <c r="A141" s="14" t="s">
        <v>2565</v>
      </c>
      <c r="B141" s="14"/>
      <c r="C141" s="14"/>
      <c r="D141" s="16"/>
      <c r="E141" s="16"/>
      <c r="F141" s="14" t="s">
        <v>2615</v>
      </c>
      <c r="G141" s="14"/>
      <c r="H141" s="14"/>
      <c r="I141" s="15"/>
      <c r="J141" s="77"/>
      <c r="K141" s="92"/>
    </row>
    <row r="142" spans="1:11" ht="12.75" x14ac:dyDescent="0.2">
      <c r="A142" s="14" t="s">
        <v>2565</v>
      </c>
      <c r="B142" s="14"/>
      <c r="C142" s="14"/>
      <c r="D142" s="16">
        <v>46106</v>
      </c>
      <c r="E142" s="16"/>
      <c r="F142" s="14" t="s">
        <v>2580</v>
      </c>
      <c r="G142" s="14">
        <v>46870733</v>
      </c>
      <c r="H142" s="14" t="s">
        <v>2581</v>
      </c>
      <c r="I142" s="15">
        <v>602.24</v>
      </c>
      <c r="J142" s="77">
        <v>5</v>
      </c>
      <c r="K142" s="92"/>
    </row>
    <row r="143" spans="1:11" ht="78.75" x14ac:dyDescent="0.2">
      <c r="A143" s="14" t="s">
        <v>2565</v>
      </c>
      <c r="B143" s="14"/>
      <c r="C143" s="14"/>
      <c r="D143" s="16">
        <v>46106</v>
      </c>
      <c r="E143" s="16"/>
      <c r="F143" s="14" t="s">
        <v>2613</v>
      </c>
      <c r="G143" s="14"/>
      <c r="H143" s="14" t="s">
        <v>2616</v>
      </c>
      <c r="I143" s="15">
        <f>51.51+47.1+44.4+44.4+36.3+36.3+38.1+38.1+40.8</f>
        <v>377.01000000000005</v>
      </c>
      <c r="J143" s="77">
        <v>5</v>
      </c>
      <c r="K143" s="92"/>
    </row>
    <row r="144" spans="1:11" ht="22.5" x14ac:dyDescent="0.2">
      <c r="A144" s="14" t="s">
        <v>2565</v>
      </c>
      <c r="B144" s="14"/>
      <c r="C144" s="14"/>
      <c r="D144" s="16">
        <v>46133</v>
      </c>
      <c r="E144" s="16"/>
      <c r="F144" s="14" t="s">
        <v>2585</v>
      </c>
      <c r="G144" s="14" t="s">
        <v>2586</v>
      </c>
      <c r="H144" s="14" t="s">
        <v>2587</v>
      </c>
      <c r="I144" s="15">
        <v>990</v>
      </c>
      <c r="J144" s="77">
        <v>5</v>
      </c>
      <c r="K144" s="92"/>
    </row>
    <row r="145" spans="1:11" ht="12.75" x14ac:dyDescent="0.2">
      <c r="A145" s="14" t="s">
        <v>2565</v>
      </c>
      <c r="B145" s="14"/>
      <c r="C145" s="14"/>
      <c r="D145" s="16">
        <v>46133</v>
      </c>
      <c r="E145" s="16"/>
      <c r="F145" s="14" t="s">
        <v>2589</v>
      </c>
      <c r="G145" s="14" t="s">
        <v>2590</v>
      </c>
      <c r="H145" s="14" t="s">
        <v>2591</v>
      </c>
      <c r="I145" s="15">
        <v>600</v>
      </c>
      <c r="J145" s="77">
        <v>5</v>
      </c>
      <c r="K145" s="92"/>
    </row>
    <row r="146" spans="1:11" ht="12.75" x14ac:dyDescent="0.2">
      <c r="A146" s="14" t="s">
        <v>2565</v>
      </c>
      <c r="B146" s="14"/>
      <c r="C146" s="14"/>
      <c r="D146" s="16">
        <v>46133</v>
      </c>
      <c r="E146" s="16"/>
      <c r="F146" s="14" t="s">
        <v>2617</v>
      </c>
      <c r="G146" s="14" t="s">
        <v>2618</v>
      </c>
      <c r="H146" s="14" t="s">
        <v>2619</v>
      </c>
      <c r="I146" s="15">
        <v>1043.8900000000001</v>
      </c>
      <c r="J146" s="77">
        <v>3</v>
      </c>
      <c r="K146" s="92"/>
    </row>
    <row r="147" spans="1:11" ht="45" x14ac:dyDescent="0.2">
      <c r="A147" s="14" t="s">
        <v>2565</v>
      </c>
      <c r="B147" s="14"/>
      <c r="C147" s="14"/>
      <c r="D147" s="16">
        <v>46203</v>
      </c>
      <c r="E147" s="16"/>
      <c r="F147" s="14" t="s">
        <v>2620</v>
      </c>
      <c r="G147" s="14" t="s">
        <v>2621</v>
      </c>
      <c r="H147" s="14" t="s">
        <v>2622</v>
      </c>
      <c r="I147" s="15">
        <v>247.27</v>
      </c>
      <c r="J147" s="77">
        <v>1</v>
      </c>
      <c r="K147" s="92"/>
    </row>
    <row r="148" spans="1:11" ht="45" x14ac:dyDescent="0.2">
      <c r="A148" s="14" t="s">
        <v>2565</v>
      </c>
      <c r="B148" s="14"/>
      <c r="C148" s="14"/>
      <c r="D148" s="16">
        <v>46203</v>
      </c>
      <c r="E148" s="16"/>
      <c r="F148" s="14" t="s">
        <v>2643</v>
      </c>
      <c r="G148" s="14" t="s">
        <v>2621</v>
      </c>
      <c r="H148" s="14" t="s">
        <v>2622</v>
      </c>
      <c r="I148" s="15">
        <v>280.88</v>
      </c>
      <c r="J148" s="77">
        <v>1</v>
      </c>
      <c r="K148" s="92"/>
    </row>
    <row r="149" spans="1:11" ht="45" x14ac:dyDescent="0.2">
      <c r="A149" s="14" t="s">
        <v>2565</v>
      </c>
      <c r="B149" s="14"/>
      <c r="C149" s="14"/>
      <c r="D149" s="16">
        <v>46203</v>
      </c>
      <c r="E149" s="16"/>
      <c r="F149" s="14" t="s">
        <v>2644</v>
      </c>
      <c r="G149" s="14" t="s">
        <v>2621</v>
      </c>
      <c r="H149" s="14" t="s">
        <v>2622</v>
      </c>
      <c r="I149" s="15">
        <v>247.27</v>
      </c>
      <c r="J149" s="77">
        <v>1</v>
      </c>
      <c r="K149" s="92"/>
    </row>
    <row r="150" spans="1:11" ht="56.25" x14ac:dyDescent="0.2">
      <c r="A150" s="14" t="s">
        <v>2565</v>
      </c>
      <c r="B150" s="14"/>
      <c r="C150" s="14"/>
      <c r="D150" s="16">
        <v>46203</v>
      </c>
      <c r="E150" s="16"/>
      <c r="F150" s="14" t="s">
        <v>2645</v>
      </c>
      <c r="G150" s="14" t="s">
        <v>2621</v>
      </c>
      <c r="H150" s="14" t="s">
        <v>2622</v>
      </c>
      <c r="I150" s="15">
        <v>545.04</v>
      </c>
      <c r="J150" s="77">
        <v>1</v>
      </c>
      <c r="K150" s="92"/>
    </row>
    <row r="151" spans="1:11" ht="56.25" x14ac:dyDescent="0.2">
      <c r="A151" s="14" t="s">
        <v>2565</v>
      </c>
      <c r="B151" s="14"/>
      <c r="C151" s="14"/>
      <c r="D151" s="16">
        <v>46203</v>
      </c>
      <c r="E151" s="16"/>
      <c r="F151" s="14" t="s">
        <v>2647</v>
      </c>
      <c r="G151" s="14" t="s">
        <v>2648</v>
      </c>
      <c r="H151" s="14" t="s">
        <v>2646</v>
      </c>
      <c r="I151" s="15">
        <v>296.52</v>
      </c>
      <c r="J151" s="77">
        <v>1</v>
      </c>
      <c r="K151" s="92"/>
    </row>
    <row r="152" spans="1:11" ht="56.25" x14ac:dyDescent="0.2">
      <c r="A152" s="14" t="s">
        <v>2565</v>
      </c>
      <c r="B152" s="14"/>
      <c r="C152" s="14"/>
      <c r="D152" s="16">
        <v>46203</v>
      </c>
      <c r="E152" s="16"/>
      <c r="F152" s="14" t="s">
        <v>2649</v>
      </c>
      <c r="G152" s="14" t="s">
        <v>2648</v>
      </c>
      <c r="H152" s="14" t="s">
        <v>2646</v>
      </c>
      <c r="I152" s="15">
        <v>961.1</v>
      </c>
      <c r="J152" s="77">
        <v>1</v>
      </c>
      <c r="K152" s="92"/>
    </row>
    <row r="153" spans="1:11" ht="12.75" x14ac:dyDescent="0.2">
      <c r="A153" s="14"/>
      <c r="B153" s="14"/>
      <c r="C153" s="14"/>
      <c r="D153" s="16"/>
      <c r="E153" s="16"/>
      <c r="F153" s="14"/>
      <c r="G153" s="14"/>
      <c r="H153" s="14"/>
      <c r="I153" s="15"/>
      <c r="J153" s="77"/>
      <c r="K153" s="92"/>
    </row>
    <row r="154" spans="1:11" ht="12.75" x14ac:dyDescent="0.2">
      <c r="A154" s="14" t="s">
        <v>2565</v>
      </c>
      <c r="B154" s="14"/>
      <c r="C154" s="14"/>
      <c r="D154" s="16">
        <v>46024</v>
      </c>
      <c r="E154" s="16"/>
      <c r="F154" s="14" t="s">
        <v>2623</v>
      </c>
      <c r="G154" s="14" t="s">
        <v>2624</v>
      </c>
      <c r="H154" s="14" t="s">
        <v>2625</v>
      </c>
      <c r="I154" s="15">
        <v>4.5</v>
      </c>
      <c r="J154" s="77">
        <v>4</v>
      </c>
      <c r="K154" s="92"/>
    </row>
    <row r="155" spans="1:11" ht="12.75" x14ac:dyDescent="0.2">
      <c r="A155" s="14" t="s">
        <v>2565</v>
      </c>
      <c r="B155" s="14"/>
      <c r="C155" s="14"/>
      <c r="D155" s="16">
        <v>46052</v>
      </c>
      <c r="E155" s="16"/>
      <c r="F155" s="14" t="s">
        <v>2626</v>
      </c>
      <c r="G155" s="14" t="s">
        <v>2624</v>
      </c>
      <c r="H155" s="14" t="s">
        <v>2625</v>
      </c>
      <c r="I155" s="15">
        <v>6.9</v>
      </c>
      <c r="J155" s="77">
        <v>4</v>
      </c>
      <c r="K155" s="92"/>
    </row>
    <row r="156" spans="1:11" ht="12.75" x14ac:dyDescent="0.2">
      <c r="A156" s="14" t="s">
        <v>2565</v>
      </c>
      <c r="B156" s="14"/>
      <c r="C156" s="14"/>
      <c r="D156" s="16">
        <v>46055</v>
      </c>
      <c r="E156" s="16"/>
      <c r="F156" s="14" t="s">
        <v>2623</v>
      </c>
      <c r="G156" s="14" t="s">
        <v>2624</v>
      </c>
      <c r="H156" s="14" t="s">
        <v>2625</v>
      </c>
      <c r="I156" s="15">
        <v>4.5</v>
      </c>
      <c r="J156" s="77">
        <v>4</v>
      </c>
      <c r="K156" s="92"/>
    </row>
    <row r="157" spans="1:11" ht="12.75" x14ac:dyDescent="0.2">
      <c r="A157" s="14" t="s">
        <v>2565</v>
      </c>
      <c r="B157" s="14"/>
      <c r="C157" s="14"/>
      <c r="D157" s="16">
        <v>46062</v>
      </c>
      <c r="E157" s="16"/>
      <c r="F157" s="14" t="s">
        <v>2627</v>
      </c>
      <c r="G157" s="14" t="s">
        <v>2628</v>
      </c>
      <c r="H157" s="14" t="s">
        <v>2629</v>
      </c>
      <c r="I157" s="15">
        <v>250</v>
      </c>
      <c r="J157" s="77">
        <v>4</v>
      </c>
      <c r="K157" s="92"/>
    </row>
    <row r="158" spans="1:11" ht="12.75" x14ac:dyDescent="0.2">
      <c r="A158" s="14" t="s">
        <v>2565</v>
      </c>
      <c r="B158" s="14"/>
      <c r="C158" s="14"/>
      <c r="D158" s="16">
        <v>46069</v>
      </c>
      <c r="E158" s="16"/>
      <c r="F158" s="14" t="s">
        <v>2630</v>
      </c>
      <c r="G158" s="14" t="s">
        <v>2624</v>
      </c>
      <c r="H158" s="14" t="s">
        <v>2625</v>
      </c>
      <c r="I158" s="15">
        <v>15</v>
      </c>
      <c r="J158" s="77">
        <v>4</v>
      </c>
      <c r="K158" s="92"/>
    </row>
    <row r="159" spans="1:11" ht="12.75" x14ac:dyDescent="0.2">
      <c r="A159" s="14" t="s">
        <v>2565</v>
      </c>
      <c r="B159" s="14"/>
      <c r="C159" s="14"/>
      <c r="D159" s="16">
        <v>46080</v>
      </c>
      <c r="E159" s="16"/>
      <c r="F159" s="14" t="s">
        <v>2626</v>
      </c>
      <c r="G159" s="14" t="s">
        <v>2624</v>
      </c>
      <c r="H159" s="14" t="s">
        <v>2625</v>
      </c>
      <c r="I159" s="15">
        <v>6.9</v>
      </c>
      <c r="J159" s="77">
        <v>4</v>
      </c>
      <c r="K159" s="92"/>
    </row>
    <row r="160" spans="1:11" ht="12.75" x14ac:dyDescent="0.2">
      <c r="A160" s="14" t="s">
        <v>2565</v>
      </c>
      <c r="B160" s="14"/>
      <c r="C160" s="14"/>
      <c r="D160" s="16">
        <v>46083</v>
      </c>
      <c r="E160" s="16"/>
      <c r="F160" s="14" t="s">
        <v>2627</v>
      </c>
      <c r="G160" s="14" t="s">
        <v>2628</v>
      </c>
      <c r="H160" s="14" t="s">
        <v>2629</v>
      </c>
      <c r="I160" s="15">
        <v>250</v>
      </c>
      <c r="J160" s="77">
        <v>4</v>
      </c>
      <c r="K160" s="92"/>
    </row>
    <row r="161" spans="1:11" ht="12.75" x14ac:dyDescent="0.2">
      <c r="A161" s="14" t="s">
        <v>2565</v>
      </c>
      <c r="B161" s="14"/>
      <c r="C161" s="14"/>
      <c r="D161" s="16">
        <v>46084</v>
      </c>
      <c r="E161" s="16"/>
      <c r="F161" s="14" t="s">
        <v>2623</v>
      </c>
      <c r="G161" s="14" t="s">
        <v>2624</v>
      </c>
      <c r="H161" s="14" t="s">
        <v>2625</v>
      </c>
      <c r="I161" s="15">
        <v>4.5</v>
      </c>
      <c r="J161" s="77">
        <v>4</v>
      </c>
      <c r="K161" s="92"/>
    </row>
    <row r="162" spans="1:11" ht="12.75" x14ac:dyDescent="0.2">
      <c r="A162" s="14" t="s">
        <v>2565</v>
      </c>
      <c r="B162" s="14"/>
      <c r="C162" s="14"/>
      <c r="D162" s="16">
        <v>46097</v>
      </c>
      <c r="E162" s="16"/>
      <c r="F162" s="14" t="s">
        <v>2636</v>
      </c>
      <c r="G162" s="14" t="s">
        <v>2631</v>
      </c>
      <c r="H162" s="14" t="s">
        <v>2632</v>
      </c>
      <c r="I162" s="15">
        <v>175.89</v>
      </c>
      <c r="J162" s="77">
        <v>4</v>
      </c>
      <c r="K162" s="92"/>
    </row>
    <row r="163" spans="1:11" ht="12.75" x14ac:dyDescent="0.2">
      <c r="A163" s="14" t="s">
        <v>2565</v>
      </c>
      <c r="B163" s="14"/>
      <c r="C163" s="14"/>
      <c r="D163" s="16">
        <v>46097</v>
      </c>
      <c r="E163" s="16"/>
      <c r="F163" s="14" t="s">
        <v>2633</v>
      </c>
      <c r="G163" s="14" t="s">
        <v>2634</v>
      </c>
      <c r="H163" s="14" t="s">
        <v>2635</v>
      </c>
      <c r="I163" s="15">
        <v>307.5</v>
      </c>
      <c r="J163" s="77">
        <v>4</v>
      </c>
      <c r="K163" s="92"/>
    </row>
    <row r="164" spans="1:11" ht="12.75" x14ac:dyDescent="0.2">
      <c r="A164" s="14" t="s">
        <v>2565</v>
      </c>
      <c r="B164" s="14"/>
      <c r="C164" s="14"/>
      <c r="D164" s="16">
        <v>46112</v>
      </c>
      <c r="E164" s="16"/>
      <c r="F164" s="14" t="s">
        <v>2626</v>
      </c>
      <c r="G164" s="14" t="s">
        <v>2624</v>
      </c>
      <c r="H164" s="14" t="s">
        <v>2625</v>
      </c>
      <c r="I164" s="15">
        <v>6.9</v>
      </c>
      <c r="J164" s="77">
        <v>4</v>
      </c>
      <c r="K164" s="92"/>
    </row>
    <row r="165" spans="1:11" ht="12.75" x14ac:dyDescent="0.2">
      <c r="A165" s="14" t="s">
        <v>2565</v>
      </c>
      <c r="B165" s="14"/>
      <c r="C165" s="14"/>
      <c r="D165" s="16">
        <v>46113</v>
      </c>
      <c r="E165" s="16"/>
      <c r="F165" s="14" t="s">
        <v>2623</v>
      </c>
      <c r="G165" s="14" t="s">
        <v>2624</v>
      </c>
      <c r="H165" s="14" t="s">
        <v>2625</v>
      </c>
      <c r="I165" s="15">
        <v>4.5</v>
      </c>
      <c r="J165" s="77">
        <v>4</v>
      </c>
      <c r="K165" s="92"/>
    </row>
    <row r="166" spans="1:11" ht="12.75" x14ac:dyDescent="0.2">
      <c r="A166" s="14" t="s">
        <v>2565</v>
      </c>
      <c r="B166" s="14"/>
      <c r="C166" s="14"/>
      <c r="D166" s="16">
        <v>46125</v>
      </c>
      <c r="E166" s="16"/>
      <c r="F166" s="14" t="s">
        <v>2638</v>
      </c>
      <c r="G166" s="14" t="s">
        <v>2631</v>
      </c>
      <c r="H166" s="14" t="s">
        <v>2632</v>
      </c>
      <c r="I166" s="15">
        <v>175.89</v>
      </c>
      <c r="J166" s="77">
        <v>4</v>
      </c>
      <c r="K166" s="92"/>
    </row>
    <row r="167" spans="1:11" ht="12.75" x14ac:dyDescent="0.2">
      <c r="A167" s="14" t="s">
        <v>2565</v>
      </c>
      <c r="B167" s="14"/>
      <c r="C167" s="14"/>
      <c r="D167" s="16">
        <v>46141</v>
      </c>
      <c r="E167" s="16"/>
      <c r="F167" s="14" t="s">
        <v>2637</v>
      </c>
      <c r="G167" s="14" t="s">
        <v>2628</v>
      </c>
      <c r="H167" s="14" t="s">
        <v>2629</v>
      </c>
      <c r="I167" s="15">
        <v>300</v>
      </c>
      <c r="J167" s="77">
        <v>4</v>
      </c>
      <c r="K167" s="92"/>
    </row>
    <row r="168" spans="1:11" ht="12.75" x14ac:dyDescent="0.2">
      <c r="A168" s="14" t="s">
        <v>2565</v>
      </c>
      <c r="B168" s="14"/>
      <c r="C168" s="14"/>
      <c r="D168" s="16">
        <v>46141</v>
      </c>
      <c r="E168" s="16"/>
      <c r="F168" s="14" t="s">
        <v>2627</v>
      </c>
      <c r="G168" s="14" t="s">
        <v>2628</v>
      </c>
      <c r="H168" s="14" t="s">
        <v>2629</v>
      </c>
      <c r="I168" s="15">
        <v>250</v>
      </c>
      <c r="J168" s="77">
        <v>4</v>
      </c>
      <c r="K168" s="92"/>
    </row>
    <row r="169" spans="1:11" ht="12.75" x14ac:dyDescent="0.2">
      <c r="A169" s="14" t="s">
        <v>2565</v>
      </c>
      <c r="B169" s="14"/>
      <c r="C169" s="14"/>
      <c r="D169" s="16">
        <v>46142</v>
      </c>
      <c r="E169" s="16"/>
      <c r="F169" s="14" t="s">
        <v>2626</v>
      </c>
      <c r="G169" s="14" t="s">
        <v>2624</v>
      </c>
      <c r="H169" s="14" t="s">
        <v>2625</v>
      </c>
      <c r="I169" s="15">
        <v>6.9</v>
      </c>
      <c r="J169" s="77">
        <v>4</v>
      </c>
      <c r="K169" s="92"/>
    </row>
    <row r="170" spans="1:11" ht="12.75" x14ac:dyDescent="0.2">
      <c r="A170" s="14" t="s">
        <v>2565</v>
      </c>
      <c r="B170" s="14"/>
      <c r="C170" s="14"/>
      <c r="D170" s="16">
        <v>46147</v>
      </c>
      <c r="E170" s="16"/>
      <c r="F170" s="14" t="s">
        <v>2623</v>
      </c>
      <c r="G170" s="14" t="s">
        <v>2624</v>
      </c>
      <c r="H170" s="14" t="s">
        <v>2625</v>
      </c>
      <c r="I170" s="15">
        <v>4.5</v>
      </c>
      <c r="J170" s="77">
        <v>4</v>
      </c>
      <c r="K170" s="92"/>
    </row>
    <row r="171" spans="1:11" ht="12.75" x14ac:dyDescent="0.2">
      <c r="A171" s="14" t="s">
        <v>2565</v>
      </c>
      <c r="B171" s="14"/>
      <c r="C171" s="14"/>
      <c r="D171" s="16">
        <v>46155</v>
      </c>
      <c r="E171" s="16"/>
      <c r="F171" s="14" t="s">
        <v>2642</v>
      </c>
      <c r="G171" s="14" t="s">
        <v>2631</v>
      </c>
      <c r="H171" s="14" t="s">
        <v>2632</v>
      </c>
      <c r="I171" s="15">
        <v>175.89</v>
      </c>
      <c r="J171" s="77">
        <v>4</v>
      </c>
      <c r="K171" s="92"/>
    </row>
    <row r="172" spans="1:11" ht="12.75" x14ac:dyDescent="0.2">
      <c r="A172" s="14" t="s">
        <v>2565</v>
      </c>
      <c r="B172" s="14"/>
      <c r="C172" s="14"/>
      <c r="D172" s="16">
        <v>46171</v>
      </c>
      <c r="E172" s="16"/>
      <c r="F172" s="14" t="s">
        <v>2626</v>
      </c>
      <c r="G172" s="14" t="s">
        <v>2624</v>
      </c>
      <c r="H172" s="14" t="s">
        <v>2625</v>
      </c>
      <c r="I172" s="15">
        <v>6.9</v>
      </c>
      <c r="J172" s="77">
        <v>4</v>
      </c>
      <c r="K172" s="92"/>
    </row>
    <row r="173" spans="1:11" ht="12.75" x14ac:dyDescent="0.2">
      <c r="A173" s="14" t="s">
        <v>2565</v>
      </c>
      <c r="B173" s="14"/>
      <c r="C173" s="14"/>
      <c r="D173" s="16">
        <v>46175</v>
      </c>
      <c r="E173" s="16"/>
      <c r="F173" s="14" t="s">
        <v>2623</v>
      </c>
      <c r="G173" s="14" t="s">
        <v>2624</v>
      </c>
      <c r="H173" s="14" t="s">
        <v>2625</v>
      </c>
      <c r="I173" s="15">
        <v>4.5</v>
      </c>
      <c r="J173" s="77">
        <v>4</v>
      </c>
      <c r="K173" s="92"/>
    </row>
    <row r="174" spans="1:11" ht="12.75" x14ac:dyDescent="0.2">
      <c r="A174" s="14" t="s">
        <v>2565</v>
      </c>
      <c r="B174" s="14"/>
      <c r="C174" s="14"/>
      <c r="D174" s="16">
        <v>46178</v>
      </c>
      <c r="E174" s="16"/>
      <c r="F174" s="14" t="s">
        <v>2627</v>
      </c>
      <c r="G174" s="14" t="s">
        <v>2628</v>
      </c>
      <c r="H174" s="14" t="s">
        <v>2629</v>
      </c>
      <c r="I174" s="15">
        <v>250</v>
      </c>
      <c r="J174" s="77">
        <v>4</v>
      </c>
      <c r="K174" s="92"/>
    </row>
    <row r="175" spans="1:11" ht="22.5" x14ac:dyDescent="0.2">
      <c r="A175" s="14" t="s">
        <v>2565</v>
      </c>
      <c r="B175" s="14"/>
      <c r="C175" s="14"/>
      <c r="D175" s="16">
        <v>46178</v>
      </c>
      <c r="E175" s="16"/>
      <c r="F175" s="14" t="s">
        <v>2639</v>
      </c>
      <c r="G175" s="14" t="s">
        <v>2640</v>
      </c>
      <c r="H175" s="14" t="s">
        <v>2641</v>
      </c>
      <c r="I175" s="15">
        <v>242.21</v>
      </c>
      <c r="J175" s="77">
        <v>4</v>
      </c>
      <c r="K175" s="92"/>
    </row>
    <row r="176" spans="1:11" ht="12.75" x14ac:dyDescent="0.2">
      <c r="A176" s="14" t="s">
        <v>2565</v>
      </c>
      <c r="B176" s="14"/>
      <c r="C176" s="14"/>
      <c r="D176" s="16">
        <v>46182</v>
      </c>
      <c r="E176" s="16"/>
      <c r="F176" s="14" t="s">
        <v>2609</v>
      </c>
      <c r="G176" s="14" t="s">
        <v>2610</v>
      </c>
      <c r="H176" s="14" t="s">
        <v>2611</v>
      </c>
      <c r="I176" s="15">
        <v>57.58</v>
      </c>
      <c r="J176" s="77">
        <v>4</v>
      </c>
      <c r="K176" s="92"/>
    </row>
    <row r="177" spans="1:11" ht="12.75" x14ac:dyDescent="0.2">
      <c r="A177" s="14" t="s">
        <v>2565</v>
      </c>
      <c r="B177" s="14"/>
      <c r="C177" s="14"/>
      <c r="D177" s="16">
        <v>46188</v>
      </c>
      <c r="E177" s="16"/>
      <c r="F177" s="14" t="s">
        <v>2651</v>
      </c>
      <c r="G177" s="14" t="s">
        <v>2631</v>
      </c>
      <c r="H177" s="14" t="s">
        <v>2632</v>
      </c>
      <c r="I177" s="15">
        <v>175.89</v>
      </c>
      <c r="J177" s="77">
        <v>4</v>
      </c>
      <c r="K177" s="92"/>
    </row>
    <row r="178" spans="1:11" ht="22.5" x14ac:dyDescent="0.2">
      <c r="A178" s="14" t="s">
        <v>2565</v>
      </c>
      <c r="B178" s="14"/>
      <c r="C178" s="14"/>
      <c r="D178" s="16">
        <v>46199</v>
      </c>
      <c r="E178" s="16"/>
      <c r="F178" s="14" t="s">
        <v>2650</v>
      </c>
      <c r="G178" s="14" t="s">
        <v>2628</v>
      </c>
      <c r="H178" s="14" t="s">
        <v>2629</v>
      </c>
      <c r="I178" s="15">
        <v>750</v>
      </c>
      <c r="J178" s="77">
        <v>4</v>
      </c>
      <c r="K178" s="92"/>
    </row>
    <row r="179" spans="1:11" ht="12.75" x14ac:dyDescent="0.2">
      <c r="A179" s="14" t="s">
        <v>2565</v>
      </c>
      <c r="B179" s="14"/>
      <c r="C179" s="14"/>
      <c r="D179" s="16">
        <v>46203</v>
      </c>
      <c r="E179" s="16"/>
      <c r="F179" s="14" t="s">
        <v>2626</v>
      </c>
      <c r="G179" s="14" t="s">
        <v>2624</v>
      </c>
      <c r="H179" s="14" t="s">
        <v>2625</v>
      </c>
      <c r="I179" s="15">
        <v>6.9</v>
      </c>
      <c r="J179" s="77">
        <v>4</v>
      </c>
      <c r="K179" s="92"/>
    </row>
    <row r="180" spans="1:11" ht="12.75" x14ac:dyDescent="0.2">
      <c r="A180" s="14"/>
      <c r="B180" s="14"/>
      <c r="C180" s="14"/>
      <c r="D180" s="16"/>
      <c r="E180" s="16"/>
      <c r="F180" s="14"/>
      <c r="G180" s="14"/>
      <c r="H180" s="14"/>
      <c r="I180" s="15"/>
      <c r="J180" s="77"/>
      <c r="K180" s="92"/>
    </row>
    <row r="181" spans="1:11" ht="12.75" x14ac:dyDescent="0.2">
      <c r="A181" s="14"/>
      <c r="B181" s="14"/>
      <c r="C181" s="14"/>
      <c r="D181" s="16"/>
      <c r="E181" s="16"/>
      <c r="F181" s="14"/>
      <c r="G181" s="14"/>
      <c r="H181" s="14"/>
      <c r="I181" s="15"/>
      <c r="J181" s="77"/>
      <c r="K181" s="92"/>
    </row>
    <row r="182" spans="1:11" ht="12.75" x14ac:dyDescent="0.2">
      <c r="A182" s="14"/>
      <c r="B182" s="14"/>
      <c r="C182" s="14"/>
      <c r="D182" s="16"/>
      <c r="E182" s="16"/>
      <c r="F182" s="14"/>
      <c r="G182" s="14"/>
      <c r="H182" s="14"/>
      <c r="I182" s="15"/>
      <c r="J182" s="77"/>
      <c r="K182" s="92"/>
    </row>
    <row r="183" spans="1:11" ht="12.75" x14ac:dyDescent="0.2">
      <c r="A183" s="14"/>
      <c r="B183" s="14"/>
      <c r="C183" s="14"/>
      <c r="D183" s="16"/>
      <c r="E183" s="16"/>
      <c r="F183" s="14"/>
      <c r="G183" s="14"/>
      <c r="H183" s="14"/>
      <c r="I183" s="15"/>
      <c r="J183" s="77"/>
      <c r="K183" s="92"/>
    </row>
    <row r="184" spans="1:11" ht="12.75" x14ac:dyDescent="0.2">
      <c r="A184" s="14"/>
      <c r="B184" s="14"/>
      <c r="C184" s="14"/>
      <c r="D184" s="16"/>
      <c r="E184" s="16"/>
      <c r="F184" s="14"/>
      <c r="G184" s="14"/>
      <c r="H184" s="14"/>
      <c r="I184" s="15"/>
      <c r="J184" s="77"/>
      <c r="K184" s="92"/>
    </row>
    <row r="185" spans="1:11" ht="12.75" x14ac:dyDescent="0.2">
      <c r="A185" s="14"/>
      <c r="B185" s="14"/>
      <c r="C185" s="14"/>
      <c r="D185" s="16"/>
      <c r="E185" s="16"/>
      <c r="F185" s="14"/>
      <c r="G185" s="14"/>
      <c r="H185" s="14"/>
      <c r="I185" s="15"/>
      <c r="J185" s="77"/>
      <c r="K185" s="92"/>
    </row>
    <row r="186" spans="1:11" ht="12.75" x14ac:dyDescent="0.2">
      <c r="A186" s="14"/>
      <c r="B186" s="14"/>
      <c r="C186" s="14"/>
      <c r="D186" s="16"/>
      <c r="E186" s="16"/>
      <c r="F186" s="14"/>
      <c r="G186" s="14"/>
      <c r="H186" s="14"/>
      <c r="I186" s="15"/>
      <c r="J186" s="77"/>
      <c r="K186" s="92"/>
    </row>
    <row r="187" spans="1:11" ht="12.75" x14ac:dyDescent="0.2">
      <c r="A187" s="14"/>
      <c r="B187" s="14"/>
      <c r="C187" s="14"/>
      <c r="D187" s="16"/>
      <c r="E187" s="16"/>
      <c r="F187" s="14"/>
      <c r="G187" s="14"/>
      <c r="H187" s="14"/>
      <c r="I187" s="15"/>
      <c r="J187" s="77"/>
      <c r="K187" s="92"/>
    </row>
    <row r="188" spans="1:11" ht="12.75" x14ac:dyDescent="0.2">
      <c r="A188" s="14"/>
      <c r="B188" s="14"/>
      <c r="C188" s="14"/>
      <c r="D188" s="16"/>
      <c r="E188" s="16"/>
      <c r="F188" s="14"/>
      <c r="G188" s="14"/>
      <c r="H188" s="14"/>
      <c r="I188" s="15"/>
      <c r="J188" s="77"/>
      <c r="K188" s="92"/>
    </row>
    <row r="189" spans="1:11" ht="12.75" x14ac:dyDescent="0.2">
      <c r="A189" s="14"/>
      <c r="B189" s="14"/>
      <c r="C189" s="14"/>
      <c r="D189" s="16"/>
      <c r="E189" s="16"/>
      <c r="F189" s="14"/>
      <c r="G189" s="14"/>
      <c r="H189" s="14"/>
      <c r="I189" s="15"/>
      <c r="J189" s="77"/>
      <c r="K189" s="92"/>
    </row>
    <row r="190" spans="1:11" ht="12.75" x14ac:dyDescent="0.2">
      <c r="A190" s="14"/>
      <c r="B190" s="14"/>
      <c r="C190" s="14"/>
      <c r="D190" s="16"/>
      <c r="E190" s="16"/>
      <c r="F190" s="14"/>
      <c r="G190" s="14"/>
      <c r="H190" s="14"/>
      <c r="I190" s="15"/>
      <c r="J190" s="77"/>
      <c r="K190" s="92"/>
    </row>
    <row r="191" spans="1:11" ht="12.75" x14ac:dyDescent="0.2">
      <c r="A191" s="14"/>
      <c r="B191" s="14"/>
      <c r="C191" s="14"/>
      <c r="D191" s="16"/>
      <c r="E191" s="16"/>
      <c r="F191" s="14"/>
      <c r="G191" s="14"/>
      <c r="H191" s="14"/>
      <c r="I191" s="15"/>
      <c r="J191" s="77"/>
      <c r="K191" s="92"/>
    </row>
    <row r="192" spans="1:11" ht="12.75" x14ac:dyDescent="0.2">
      <c r="A192" s="14"/>
      <c r="B192" s="14"/>
      <c r="C192" s="14"/>
      <c r="D192" s="16"/>
      <c r="E192" s="16"/>
      <c r="F192" s="14"/>
      <c r="G192" s="14"/>
      <c r="H192" s="14"/>
      <c r="I192" s="15"/>
      <c r="J192" s="77"/>
      <c r="K192" s="92"/>
    </row>
    <row r="193" spans="1:11" ht="12.75" x14ac:dyDescent="0.2">
      <c r="A193" s="14"/>
      <c r="B193" s="14"/>
      <c r="C193" s="14"/>
      <c r="D193" s="16"/>
      <c r="E193" s="16"/>
      <c r="F193" s="14"/>
      <c r="G193" s="14"/>
      <c r="H193" s="14"/>
      <c r="I193" s="15"/>
      <c r="J193" s="77"/>
      <c r="K193" s="92"/>
    </row>
    <row r="194" spans="1:11" ht="12.75" x14ac:dyDescent="0.2">
      <c r="A194" s="14"/>
      <c r="B194" s="14"/>
      <c r="C194" s="14"/>
      <c r="D194" s="16"/>
      <c r="E194" s="16"/>
      <c r="F194" s="14"/>
      <c r="G194" s="14"/>
      <c r="H194" s="14"/>
      <c r="I194" s="15"/>
      <c r="J194" s="77"/>
      <c r="K194" s="92"/>
    </row>
    <row r="195" spans="1:11" ht="12.75" x14ac:dyDescent="0.2">
      <c r="A195" s="14"/>
      <c r="B195" s="14"/>
      <c r="C195" s="14"/>
      <c r="D195" s="16"/>
      <c r="E195" s="16"/>
      <c r="F195" s="14"/>
      <c r="G195" s="14"/>
      <c r="H195" s="14"/>
      <c r="I195" s="15"/>
      <c r="J195" s="77"/>
      <c r="K195" s="92"/>
    </row>
    <row r="196" spans="1:11" ht="12.75" x14ac:dyDescent="0.2">
      <c r="A196" s="14"/>
      <c r="B196" s="14"/>
      <c r="C196" s="14"/>
      <c r="D196" s="16"/>
      <c r="E196" s="16"/>
      <c r="F196" s="14"/>
      <c r="G196" s="14"/>
      <c r="H196" s="14"/>
      <c r="I196" s="15"/>
      <c r="J196" s="77"/>
      <c r="K196" s="92"/>
    </row>
    <row r="197" spans="1:11" ht="12.75" x14ac:dyDescent="0.2">
      <c r="A197" s="14"/>
      <c r="B197" s="14"/>
      <c r="C197" s="14"/>
      <c r="D197" s="16"/>
      <c r="E197" s="16"/>
      <c r="F197" s="14"/>
      <c r="G197" s="14"/>
      <c r="H197" s="14"/>
      <c r="I197" s="15"/>
      <c r="J197" s="77"/>
      <c r="K197" s="92"/>
    </row>
    <row r="198" spans="1:11" ht="12.75" x14ac:dyDescent="0.2">
      <c r="A198" s="14"/>
      <c r="B198" s="14"/>
      <c r="C198" s="14"/>
      <c r="D198" s="16"/>
      <c r="E198" s="16"/>
      <c r="F198" s="14"/>
      <c r="G198" s="14"/>
      <c r="H198" s="14"/>
      <c r="I198" s="15"/>
      <c r="J198" s="77"/>
      <c r="K198" s="92"/>
    </row>
    <row r="199" spans="1:11" ht="12.75" x14ac:dyDescent="0.2">
      <c r="A199" s="14"/>
      <c r="B199" s="14"/>
      <c r="C199" s="14"/>
      <c r="D199" s="16"/>
      <c r="E199" s="16"/>
      <c r="F199" s="14"/>
      <c r="G199" s="14"/>
      <c r="H199" s="14"/>
      <c r="I199" s="15"/>
      <c r="J199" s="77"/>
      <c r="K199" s="92"/>
    </row>
    <row r="200" spans="1:11" ht="12.75" x14ac:dyDescent="0.2">
      <c r="A200" s="14"/>
      <c r="B200" s="14"/>
      <c r="C200" s="14"/>
      <c r="D200" s="16"/>
      <c r="E200" s="16"/>
      <c r="F200" s="14"/>
      <c r="G200" s="14"/>
      <c r="H200" s="14"/>
      <c r="I200" s="15"/>
      <c r="J200" s="77"/>
      <c r="K200" s="92"/>
    </row>
    <row r="201" spans="1:11" ht="12.75" x14ac:dyDescent="0.2">
      <c r="A201" s="14"/>
      <c r="B201" s="14"/>
      <c r="C201" s="14"/>
      <c r="D201" s="16"/>
      <c r="E201" s="16"/>
      <c r="F201" s="14"/>
      <c r="G201" s="14"/>
      <c r="H201" s="14"/>
      <c r="I201" s="15"/>
      <c r="J201" s="77"/>
      <c r="K201" s="92"/>
    </row>
    <row r="202" spans="1:11" ht="12.75" x14ac:dyDescent="0.2">
      <c r="A202" s="14"/>
      <c r="B202" s="14"/>
      <c r="C202" s="14"/>
      <c r="D202" s="16"/>
      <c r="E202" s="16"/>
      <c r="F202" s="14"/>
      <c r="G202" s="14"/>
      <c r="H202" s="14"/>
      <c r="I202" s="15"/>
      <c r="J202" s="77"/>
      <c r="K202" s="92"/>
    </row>
    <row r="203" spans="1:11" ht="12.75" x14ac:dyDescent="0.2">
      <c r="A203" s="14"/>
      <c r="B203" s="14"/>
      <c r="C203" s="14"/>
      <c r="D203" s="16"/>
      <c r="E203" s="16"/>
      <c r="F203" s="14"/>
      <c r="G203" s="14"/>
      <c r="H203" s="14"/>
      <c r="I203" s="15"/>
      <c r="J203" s="77"/>
      <c r="K203" s="92"/>
    </row>
    <row r="204" spans="1:11" ht="12.75" x14ac:dyDescent="0.2">
      <c r="A204" s="14"/>
      <c r="B204" s="14"/>
      <c r="C204" s="14"/>
      <c r="D204" s="16"/>
      <c r="E204" s="16"/>
      <c r="F204" s="14"/>
      <c r="G204" s="14"/>
      <c r="H204" s="14"/>
      <c r="I204" s="15"/>
      <c r="J204" s="77"/>
      <c r="K204" s="92"/>
    </row>
    <row r="205" spans="1:11" ht="12.75" x14ac:dyDescent="0.2">
      <c r="A205" s="14"/>
      <c r="B205" s="14"/>
      <c r="C205" s="14"/>
      <c r="D205" s="16"/>
      <c r="E205" s="16"/>
      <c r="F205" s="14"/>
      <c r="G205" s="14"/>
      <c r="H205" s="14"/>
      <c r="I205" s="15"/>
      <c r="J205" s="77"/>
      <c r="K205" s="92"/>
    </row>
    <row r="206" spans="1:11" ht="12.75" x14ac:dyDescent="0.2">
      <c r="A206" s="14"/>
      <c r="B206" s="14"/>
      <c r="C206" s="14"/>
      <c r="D206" s="16"/>
      <c r="E206" s="16"/>
      <c r="F206" s="14"/>
      <c r="G206" s="14"/>
      <c r="H206" s="14"/>
      <c r="I206" s="15"/>
      <c r="J206" s="77"/>
      <c r="K206" s="92"/>
    </row>
    <row r="207" spans="1:11" ht="12.75" x14ac:dyDescent="0.2">
      <c r="A207" s="14"/>
      <c r="B207" s="14"/>
      <c r="C207" s="14"/>
      <c r="D207" s="16"/>
      <c r="E207" s="16"/>
      <c r="F207" s="14"/>
      <c r="G207" s="14"/>
      <c r="H207" s="14"/>
      <c r="I207" s="15"/>
      <c r="J207" s="77"/>
      <c r="K207" s="92"/>
    </row>
    <row r="208" spans="1:11" ht="12.75" x14ac:dyDescent="0.2">
      <c r="A208" s="14"/>
      <c r="B208" s="14"/>
      <c r="C208" s="14"/>
      <c r="D208" s="16"/>
      <c r="E208" s="16"/>
      <c r="F208" s="14"/>
      <c r="G208" s="14"/>
      <c r="H208" s="14"/>
      <c r="I208" s="15"/>
      <c r="J208" s="77"/>
      <c r="K208" s="92"/>
    </row>
    <row r="209" spans="1:11" ht="12.75" x14ac:dyDescent="0.2">
      <c r="A209" s="14"/>
      <c r="B209" s="14"/>
      <c r="C209" s="14"/>
      <c r="D209" s="16"/>
      <c r="E209" s="16"/>
      <c r="F209" s="14"/>
      <c r="G209" s="14"/>
      <c r="H209" s="14"/>
      <c r="I209" s="15"/>
      <c r="J209" s="77"/>
      <c r="K209" s="92"/>
    </row>
    <row r="210" spans="1:11" ht="12.75" x14ac:dyDescent="0.2">
      <c r="A210" s="14"/>
      <c r="B210" s="14"/>
      <c r="C210" s="14"/>
      <c r="D210" s="16"/>
      <c r="E210" s="16"/>
      <c r="F210" s="14"/>
      <c r="G210" s="14"/>
      <c r="H210" s="14"/>
      <c r="I210" s="15"/>
      <c r="J210" s="77"/>
      <c r="K210" s="92"/>
    </row>
    <row r="211" spans="1:11" ht="12.75" x14ac:dyDescent="0.2">
      <c r="A211" s="14"/>
      <c r="B211" s="14"/>
      <c r="C211" s="14"/>
      <c r="D211" s="16"/>
      <c r="E211" s="16"/>
      <c r="F211" s="14"/>
      <c r="G211" s="14"/>
      <c r="H211" s="14"/>
      <c r="I211" s="15"/>
      <c r="J211" s="77"/>
      <c r="K211" s="92"/>
    </row>
    <row r="212" spans="1:11" ht="12.75" x14ac:dyDescent="0.2">
      <c r="A212" s="14"/>
      <c r="B212" s="14"/>
      <c r="C212" s="14"/>
      <c r="D212" s="16"/>
      <c r="E212" s="16"/>
      <c r="F212" s="14"/>
      <c r="G212" s="14"/>
      <c r="H212" s="14"/>
      <c r="I212" s="15"/>
      <c r="J212" s="77"/>
      <c r="K212" s="92"/>
    </row>
    <row r="213" spans="1:11" ht="12.75" x14ac:dyDescent="0.2">
      <c r="A213" s="14"/>
      <c r="B213" s="14"/>
      <c r="C213" s="14"/>
      <c r="D213" s="16"/>
      <c r="E213" s="16"/>
      <c r="F213" s="14"/>
      <c r="G213" s="14"/>
      <c r="H213" s="14"/>
      <c r="I213" s="15"/>
      <c r="J213" s="77"/>
      <c r="K213" s="92"/>
    </row>
    <row r="214" spans="1:11" ht="12.75" x14ac:dyDescent="0.2">
      <c r="A214" s="14"/>
      <c r="B214" s="14"/>
      <c r="C214" s="14"/>
      <c r="D214" s="16"/>
      <c r="E214" s="16"/>
      <c r="F214" s="14"/>
      <c r="G214" s="14"/>
      <c r="H214" s="14"/>
      <c r="I214" s="15"/>
      <c r="J214" s="77"/>
      <c r="K214" s="92"/>
    </row>
    <row r="215" spans="1:11" ht="12.75" x14ac:dyDescent="0.2">
      <c r="A215" s="14"/>
      <c r="B215" s="14"/>
      <c r="C215" s="14"/>
      <c r="D215" s="16"/>
      <c r="E215" s="16"/>
      <c r="F215" s="14"/>
      <c r="G215" s="14"/>
      <c r="H215" s="14"/>
      <c r="I215" s="15"/>
      <c r="J215" s="77"/>
      <c r="K215" s="92"/>
    </row>
    <row r="216" spans="1:11" ht="12.75" x14ac:dyDescent="0.2">
      <c r="A216" s="14"/>
      <c r="B216" s="14"/>
      <c r="C216" s="14"/>
      <c r="D216" s="16"/>
      <c r="E216" s="16"/>
      <c r="F216" s="14"/>
      <c r="G216" s="14"/>
      <c r="H216" s="14"/>
      <c r="I216" s="15"/>
      <c r="J216" s="77"/>
      <c r="K216" s="92"/>
    </row>
    <row r="217" spans="1:11" ht="12.75" x14ac:dyDescent="0.2">
      <c r="A217" s="14"/>
      <c r="B217" s="14"/>
      <c r="C217" s="14"/>
      <c r="D217" s="16"/>
      <c r="E217" s="16"/>
      <c r="F217" s="14"/>
      <c r="G217" s="14"/>
      <c r="H217" s="14"/>
      <c r="I217" s="15"/>
      <c r="J217" s="77"/>
      <c r="K217" s="92"/>
    </row>
    <row r="218" spans="1:11" ht="12.75" x14ac:dyDescent="0.2">
      <c r="A218" s="14"/>
      <c r="B218" s="14"/>
      <c r="C218" s="14"/>
      <c r="D218" s="16"/>
      <c r="E218" s="16"/>
      <c r="F218" s="14"/>
      <c r="G218" s="14"/>
      <c r="H218" s="14"/>
      <c r="I218" s="15"/>
      <c r="J218" s="77"/>
      <c r="K218" s="92"/>
    </row>
    <row r="219" spans="1:11" ht="12.75" x14ac:dyDescent="0.2">
      <c r="A219" s="14"/>
      <c r="B219" s="14"/>
      <c r="C219" s="14"/>
      <c r="D219" s="16"/>
      <c r="E219" s="16"/>
      <c r="F219" s="14"/>
      <c r="G219" s="14"/>
      <c r="H219" s="14"/>
      <c r="I219" s="15"/>
      <c r="J219" s="77"/>
      <c r="K219" s="92"/>
    </row>
    <row r="220" spans="1:11" ht="12.75" x14ac:dyDescent="0.2">
      <c r="A220" s="14"/>
      <c r="B220" s="14"/>
      <c r="C220" s="14"/>
      <c r="D220" s="16"/>
      <c r="E220" s="16"/>
      <c r="F220" s="14"/>
      <c r="G220" s="14"/>
      <c r="H220" s="14"/>
      <c r="I220" s="15"/>
      <c r="J220" s="77"/>
      <c r="K220" s="92"/>
    </row>
    <row r="221" spans="1:11" ht="12.75" x14ac:dyDescent="0.2">
      <c r="A221" s="14"/>
      <c r="B221" s="14"/>
      <c r="C221" s="14"/>
      <c r="D221" s="16"/>
      <c r="E221" s="16"/>
      <c r="F221" s="14"/>
      <c r="G221" s="14"/>
      <c r="H221" s="14"/>
      <c r="I221" s="15"/>
      <c r="J221" s="77"/>
      <c r="K221" s="92"/>
    </row>
    <row r="222" spans="1:11" ht="12.75" x14ac:dyDescent="0.2">
      <c r="A222" s="14"/>
      <c r="B222" s="14"/>
      <c r="C222" s="14"/>
      <c r="D222" s="16"/>
      <c r="E222" s="16"/>
      <c r="F222" s="14"/>
      <c r="G222" s="14"/>
      <c r="H222" s="14"/>
      <c r="I222" s="15"/>
      <c r="J222" s="77"/>
      <c r="K222" s="92"/>
    </row>
    <row r="223" spans="1:11" ht="12.75" x14ac:dyDescent="0.2">
      <c r="A223" s="14"/>
      <c r="B223" s="14"/>
      <c r="C223" s="14"/>
      <c r="D223" s="16"/>
      <c r="E223" s="16"/>
      <c r="F223" s="14"/>
      <c r="G223" s="14"/>
      <c r="H223" s="14"/>
      <c r="I223" s="15"/>
      <c r="J223" s="77"/>
      <c r="K223" s="92"/>
    </row>
    <row r="224" spans="1:11" ht="12.75" x14ac:dyDescent="0.2">
      <c r="A224" s="14"/>
      <c r="B224" s="14"/>
      <c r="C224" s="14"/>
      <c r="D224" s="16"/>
      <c r="E224" s="16"/>
      <c r="F224" s="14"/>
      <c r="G224" s="14"/>
      <c r="H224" s="14"/>
      <c r="I224" s="15"/>
      <c r="J224" s="77"/>
      <c r="K224" s="92"/>
    </row>
    <row r="225" spans="1:11" ht="12.75" x14ac:dyDescent="0.2">
      <c r="A225" s="14"/>
      <c r="B225" s="14"/>
      <c r="C225" s="14"/>
      <c r="D225" s="16"/>
      <c r="E225" s="16"/>
      <c r="F225" s="14"/>
      <c r="G225" s="14"/>
      <c r="H225" s="14"/>
      <c r="I225" s="15"/>
      <c r="J225" s="77"/>
      <c r="K225" s="92"/>
    </row>
    <row r="226" spans="1:11" ht="12.75" x14ac:dyDescent="0.2">
      <c r="A226" s="14"/>
      <c r="B226" s="14"/>
      <c r="C226" s="14"/>
      <c r="D226" s="16"/>
      <c r="E226" s="16"/>
      <c r="F226" s="14"/>
      <c r="G226" s="14"/>
      <c r="H226" s="14"/>
      <c r="I226" s="15"/>
      <c r="J226" s="77"/>
      <c r="K226" s="92"/>
    </row>
    <row r="227" spans="1:11" ht="12.75" x14ac:dyDescent="0.2">
      <c r="A227" s="14"/>
      <c r="B227" s="14"/>
      <c r="C227" s="14"/>
      <c r="D227" s="16"/>
      <c r="E227" s="16"/>
      <c r="F227" s="14"/>
      <c r="G227" s="14"/>
      <c r="H227" s="14"/>
      <c r="I227" s="15"/>
      <c r="J227" s="77"/>
      <c r="K227" s="92"/>
    </row>
    <row r="228" spans="1:11" ht="12.75" x14ac:dyDescent="0.2">
      <c r="A228" s="14"/>
      <c r="B228" s="14"/>
      <c r="C228" s="14"/>
      <c r="D228" s="16"/>
      <c r="E228" s="16"/>
      <c r="F228" s="14"/>
      <c r="G228" s="14"/>
      <c r="H228" s="14"/>
      <c r="I228" s="15"/>
      <c r="J228" s="77"/>
      <c r="K228" s="92"/>
    </row>
    <row r="229" spans="1:11" ht="12.75" x14ac:dyDescent="0.2">
      <c r="A229" s="14"/>
      <c r="B229" s="14"/>
      <c r="C229" s="14"/>
      <c r="D229" s="16"/>
      <c r="E229" s="16"/>
      <c r="F229" s="14"/>
      <c r="G229" s="14"/>
      <c r="H229" s="14"/>
      <c r="I229" s="15"/>
      <c r="J229" s="77"/>
      <c r="K229" s="92"/>
    </row>
    <row r="230" spans="1:11" ht="12.75" x14ac:dyDescent="0.2">
      <c r="A230" s="14"/>
      <c r="B230" s="14"/>
      <c r="C230" s="14"/>
      <c r="D230" s="16"/>
      <c r="E230" s="16"/>
      <c r="F230" s="14"/>
      <c r="G230" s="14"/>
      <c r="H230" s="14"/>
      <c r="I230" s="15"/>
      <c r="J230" s="77"/>
      <c r="K230" s="92"/>
    </row>
    <row r="231" spans="1:11" ht="12.75" x14ac:dyDescent="0.2">
      <c r="A231" s="14"/>
      <c r="B231" s="14"/>
      <c r="C231" s="14"/>
      <c r="D231" s="16"/>
      <c r="E231" s="16"/>
      <c r="F231" s="14"/>
      <c r="G231" s="14"/>
      <c r="H231" s="14"/>
      <c r="I231" s="15"/>
      <c r="J231" s="77"/>
      <c r="K231" s="92"/>
    </row>
    <row r="232" spans="1:11" ht="12.75" x14ac:dyDescent="0.2">
      <c r="A232" s="14"/>
      <c r="B232" s="14"/>
      <c r="C232" s="14"/>
      <c r="D232" s="16"/>
      <c r="E232" s="16"/>
      <c r="F232" s="14"/>
      <c r="G232" s="14"/>
      <c r="H232" s="14"/>
      <c r="I232" s="15"/>
      <c r="J232" s="77"/>
      <c r="K232" s="92"/>
    </row>
    <row r="233" spans="1:11" ht="12.75" x14ac:dyDescent="0.2">
      <c r="A233" s="14"/>
      <c r="B233" s="14"/>
      <c r="C233" s="14"/>
      <c r="D233" s="16"/>
      <c r="E233" s="16"/>
      <c r="F233" s="14"/>
      <c r="G233" s="14"/>
      <c r="H233" s="14"/>
      <c r="I233" s="15"/>
      <c r="J233" s="77"/>
      <c r="K233" s="92"/>
    </row>
    <row r="234" spans="1:11" ht="12.75" x14ac:dyDescent="0.2">
      <c r="A234" s="14"/>
      <c r="B234" s="14"/>
      <c r="C234" s="14"/>
      <c r="D234" s="16"/>
      <c r="E234" s="16"/>
      <c r="F234" s="14"/>
      <c r="G234" s="14"/>
      <c r="H234" s="14"/>
      <c r="I234" s="15"/>
      <c r="J234" s="77"/>
      <c r="K234" s="92"/>
    </row>
    <row r="235" spans="1:11" ht="12.75" x14ac:dyDescent="0.2">
      <c r="A235" s="14"/>
      <c r="B235" s="14"/>
      <c r="C235" s="14"/>
      <c r="D235" s="16"/>
      <c r="E235" s="16"/>
      <c r="F235" s="14"/>
      <c r="G235" s="14"/>
      <c r="H235" s="14"/>
      <c r="I235" s="15"/>
      <c r="J235" s="77"/>
      <c r="K235" s="92"/>
    </row>
    <row r="236" spans="1:11" ht="12.75" x14ac:dyDescent="0.2">
      <c r="A236" s="14"/>
      <c r="B236" s="14"/>
      <c r="C236" s="14"/>
      <c r="D236" s="16"/>
      <c r="E236" s="16"/>
      <c r="F236" s="14"/>
      <c r="G236" s="14"/>
      <c r="H236" s="14"/>
      <c r="I236" s="15"/>
      <c r="J236" s="77"/>
      <c r="K236" s="92"/>
    </row>
    <row r="237" spans="1:11" ht="12.75" x14ac:dyDescent="0.2">
      <c r="A237" s="14"/>
      <c r="B237" s="14"/>
      <c r="C237" s="14"/>
      <c r="D237" s="16"/>
      <c r="E237" s="16"/>
      <c r="F237" s="14"/>
      <c r="G237" s="14"/>
      <c r="H237" s="14"/>
      <c r="I237" s="15"/>
      <c r="J237" s="77"/>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Slovenský rýchlokorčuliarsky zväz, Bancíkovej 17007/1A, Bratislava 2, 821 03</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30688060</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Peter Javorsky</cp:lastModifiedBy>
  <cp:revision/>
  <cp:lastPrinted>2026-01-22T08:18:11Z</cp:lastPrinted>
  <dcterms:created xsi:type="dcterms:W3CDTF">2017-02-20T06:20:12Z</dcterms:created>
  <dcterms:modified xsi:type="dcterms:W3CDTF">2026-07-29T08:12:15Z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